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827"/>
  <workbookPr defaultThemeVersion="124226"/>
  <mc:AlternateContent xmlns:mc="http://schemas.openxmlformats.org/markup-compatibility/2006">
    <mc:Choice Requires="x15">
      <x15ac:absPath xmlns:x15ac="http://schemas.microsoft.com/office/spreadsheetml/2010/11/ac" url="C:\OneDrive\Archeo\EtudesEnCours\Thapsus\"/>
    </mc:Choice>
  </mc:AlternateContent>
  <xr:revisionPtr revIDLastSave="92" documentId="B1B064966B7ED83CDB6FD12F006F391A35F9C46A" xr6:coauthVersionLast="26" xr6:coauthVersionMax="26" xr10:uidLastSave="{32B5FD63-D836-423D-B9A4-1E6DB904DEEA}"/>
  <bookViews>
    <workbookView xWindow="120" yWindow="120" windowWidth="21840" windowHeight="9270" activeTab="1" xr2:uid="{00000000-000D-0000-FFFF-FFFF00000000}"/>
  </bookViews>
  <sheets>
    <sheet name="Recap" sheetId="3" r:id="rId1"/>
    <sheet name="Volume" sheetId="1" r:id="rId2"/>
    <sheet name="Goda" sheetId="2" r:id="rId3"/>
  </sheets>
  <calcPr calcId="171027"/>
</workbook>
</file>

<file path=xl/calcChain.xml><?xml version="1.0" encoding="utf-8"?>
<calcChain xmlns="http://schemas.openxmlformats.org/spreadsheetml/2006/main">
  <c r="AC9" i="1" l="1"/>
  <c r="AC10" i="1"/>
  <c r="AC11" i="1"/>
  <c r="AC12" i="1"/>
  <c r="AC13" i="1"/>
  <c r="AC14" i="1"/>
  <c r="AC15" i="1"/>
  <c r="AC16" i="1"/>
  <c r="AC17" i="1"/>
  <c r="AC8" i="1"/>
  <c r="V17" i="1"/>
  <c r="V16" i="1"/>
  <c r="V15" i="1"/>
  <c r="V14" i="1"/>
  <c r="V13" i="1"/>
  <c r="V12" i="1"/>
  <c r="V11" i="1"/>
  <c r="V10" i="1"/>
  <c r="V9" i="1"/>
  <c r="V8" i="1"/>
  <c r="X8" i="1" l="1"/>
  <c r="X9" i="1"/>
  <c r="X10" i="1"/>
  <c r="X11" i="1"/>
  <c r="X12" i="1"/>
  <c r="Z12" i="1" s="1"/>
  <c r="X13" i="1"/>
  <c r="Z13" i="1" s="1"/>
  <c r="X14" i="1"/>
  <c r="Z14" i="1" s="1"/>
  <c r="X15" i="1"/>
  <c r="X16" i="1"/>
  <c r="Z16" i="1" s="1"/>
  <c r="X17" i="1"/>
  <c r="Z17" i="1" s="1"/>
  <c r="X7" i="1"/>
  <c r="Z7" i="1" s="1"/>
  <c r="Z15" i="1"/>
  <c r="Z11" i="1"/>
  <c r="Z10" i="1"/>
  <c r="Z9" i="1"/>
  <c r="Z8" i="1"/>
  <c r="D37" i="1"/>
  <c r="P8" i="1"/>
  <c r="P9" i="1"/>
  <c r="P10" i="1"/>
  <c r="P11" i="1"/>
  <c r="P12" i="1"/>
  <c r="P13" i="1"/>
  <c r="P14" i="1"/>
  <c r="P15" i="1"/>
  <c r="P16" i="1"/>
  <c r="P17" i="1"/>
  <c r="P7" i="1"/>
  <c r="I32" i="2" l="1"/>
  <c r="I33" i="2"/>
  <c r="I30" i="2"/>
  <c r="B40" i="2"/>
  <c r="B42" i="2"/>
  <c r="B41" i="2"/>
  <c r="B39" i="2"/>
  <c r="AC19" i="1" l="1"/>
  <c r="B44" i="2"/>
  <c r="B46" i="2" s="1"/>
  <c r="R8" i="1"/>
  <c r="R9" i="1"/>
  <c r="R10" i="1"/>
  <c r="R11" i="1"/>
  <c r="R12" i="1"/>
  <c r="R13" i="1"/>
  <c r="R14" i="1"/>
  <c r="R15" i="1"/>
  <c r="R16" i="1"/>
  <c r="R17" i="1"/>
  <c r="R7" i="1"/>
  <c r="F6" i="1"/>
  <c r="F4" i="1"/>
  <c r="F5" i="1"/>
  <c r="F3" i="1"/>
  <c r="I5" i="1"/>
  <c r="I4" i="1" s="1"/>
  <c r="I3" i="1" s="1"/>
  <c r="V19" i="1" l="1"/>
  <c r="B45" i="2"/>
  <c r="B48" i="2" s="1"/>
  <c r="D18" i="1"/>
  <c r="M8" i="1"/>
  <c r="M9" i="1"/>
  <c r="M10" i="1"/>
  <c r="M11" i="1"/>
  <c r="M12" i="1"/>
  <c r="M13" i="1"/>
  <c r="M14" i="1"/>
  <c r="M15" i="1"/>
  <c r="M16" i="1"/>
  <c r="M17" i="1"/>
  <c r="M7" i="1"/>
  <c r="I8" i="1"/>
  <c r="I9" i="1" s="1"/>
  <c r="I10" i="1" s="1"/>
  <c r="I11" i="1" s="1"/>
  <c r="I12" i="1" s="1"/>
  <c r="I13" i="1" s="1"/>
  <c r="I14" i="1" s="1"/>
  <c r="I15" i="1" s="1"/>
  <c r="I16" i="1" s="1"/>
  <c r="I17" i="1" s="1"/>
  <c r="D17" i="1"/>
  <c r="F17" i="1" s="1"/>
  <c r="D9" i="1"/>
  <c r="F9" i="1" s="1"/>
  <c r="D10" i="1"/>
  <c r="F10" i="1" s="1"/>
  <c r="D11" i="1"/>
  <c r="F11" i="1" s="1"/>
  <c r="D12" i="1"/>
  <c r="F12" i="1" s="1"/>
  <c r="D13" i="1"/>
  <c r="F13" i="1" s="1"/>
  <c r="D14" i="1"/>
  <c r="F14" i="1" s="1"/>
  <c r="D15" i="1"/>
  <c r="F15" i="1" s="1"/>
  <c r="D16" i="1"/>
  <c r="F16" i="1" s="1"/>
  <c r="D8" i="1"/>
  <c r="D7" i="1"/>
  <c r="N16" i="1" l="1"/>
  <c r="N12" i="1"/>
  <c r="F7" i="1"/>
  <c r="J7" i="1" s="1"/>
  <c r="F8" i="1"/>
  <c r="J9" i="1" s="1"/>
  <c r="N15" i="1"/>
  <c r="N11" i="1"/>
  <c r="N10" i="1"/>
  <c r="U12" i="1"/>
  <c r="U16" i="1"/>
  <c r="N14" i="1"/>
  <c r="N17" i="1"/>
  <c r="N13" i="1"/>
  <c r="N8" i="1"/>
  <c r="E18" i="1"/>
  <c r="F18" i="1" s="1"/>
  <c r="J18" i="1" s="1"/>
  <c r="J15" i="1"/>
  <c r="N9" i="1"/>
  <c r="J11" i="1"/>
  <c r="J14" i="1"/>
  <c r="J10" i="1"/>
  <c r="J13" i="1"/>
  <c r="J16" i="1"/>
  <c r="J12" i="1"/>
  <c r="J17" i="1"/>
  <c r="U9" i="1"/>
  <c r="U13" i="1"/>
  <c r="U17" i="1"/>
  <c r="U15" i="1"/>
  <c r="U10" i="1"/>
  <c r="U8" i="1"/>
  <c r="U11" i="1"/>
  <c r="U14" i="1"/>
  <c r="J8" i="1"/>
  <c r="N19" i="1" l="1"/>
  <c r="J19" i="1"/>
  <c r="U19" i="1"/>
  <c r="U20" i="1" s="1"/>
</calcChain>
</file>

<file path=xl/sharedStrings.xml><?xml version="1.0" encoding="utf-8"?>
<sst xmlns="http://schemas.openxmlformats.org/spreadsheetml/2006/main" count="149" uniqueCount="132">
  <si>
    <t>Volume submergé du grand môle</t>
  </si>
  <si>
    <t>section</t>
  </si>
  <si>
    <t>vol. môle</t>
  </si>
  <si>
    <t>niv. môle</t>
  </si>
  <si>
    <t>larg. môle</t>
  </si>
  <si>
    <t>longueur</t>
  </si>
  <si>
    <t>haut. môle</t>
  </si>
  <si>
    <t>Total:</t>
  </si>
  <si>
    <t>x</t>
  </si>
  <si>
    <t>a</t>
  </si>
  <si>
    <t>b</t>
  </si>
  <si>
    <t>c</t>
  </si>
  <si>
    <t>d</t>
  </si>
  <si>
    <t>Yorke (1967) gave a first description of the submerged BW</t>
  </si>
  <si>
    <t>AdG is going to show here why this structure was not able to resist wave attack at this spot</t>
  </si>
  <si>
    <t>Daux (1869) gave the first modern description of the emerging BW</t>
  </si>
  <si>
    <t>Lézine (1961) gave more detailed measurements of the emerging BW</t>
  </si>
  <si>
    <t>Younes (1997) combined Yorke and Lézine's observations to conclude that the whole BW (1083 m) was initially a vertical BW</t>
  </si>
  <si>
    <t>A large part (590 m) of the BW is built in 6 m water depth and we shall concentrate on that part.</t>
  </si>
  <si>
    <t>Big storms, mainly from northern sector, do occur in this part of the Tunisian coast.</t>
  </si>
  <si>
    <t>i.e. for a water depth h = 6 m, the max significant wave height is Hs = 3.6 to 4.2 m, say 4 m.</t>
  </si>
  <si>
    <t>Ts (s)</t>
  </si>
  <si>
    <t>D (m)</t>
  </si>
  <si>
    <t>h (m)</t>
  </si>
  <si>
    <t>ds (m)</t>
  </si>
  <si>
    <t>Hb (m)</t>
  </si>
  <si>
    <t>Hs breaking</t>
  </si>
  <si>
    <t>L (m)</t>
  </si>
  <si>
    <t>R (m)</t>
  </si>
  <si>
    <t>= 1.5 Hb</t>
  </si>
  <si>
    <t>alpha1</t>
  </si>
  <si>
    <t>alpha2</t>
  </si>
  <si>
    <t>alpha3</t>
  </si>
  <si>
    <t>= 2D/Hb</t>
  </si>
  <si>
    <t>= 1-(1-1/cosh(2πD/L))ds/D</t>
  </si>
  <si>
    <t>P1 (t/m2)</t>
  </si>
  <si>
    <t>ρ (ton/m3)</t>
  </si>
  <si>
    <t>P3 (t/m2)</t>
  </si>
  <si>
    <t>P4 (t/m2)</t>
  </si>
  <si>
    <t>r (m)</t>
  </si>
  <si>
    <t>crest level above SWL</t>
  </si>
  <si>
    <t>waterdepth in front of BW</t>
  </si>
  <si>
    <t>waterdepth at 5 Hs offshore of BW</t>
  </si>
  <si>
    <t>waterdepth at BW toe</t>
  </si>
  <si>
    <t>= 0.6 + 0.5(4πD/L/sinh(4πD/L))2</t>
  </si>
  <si>
    <t>= (alpha1+alpha2)ρHb at SWL</t>
  </si>
  <si>
    <t>= alpha3 P1 at BW toe</t>
  </si>
  <si>
    <t>= (1-r/R)P1 at BW crest</t>
  </si>
  <si>
    <t>Total horiz force</t>
  </si>
  <si>
    <t>Fh (t/m)</t>
  </si>
  <si>
    <t>After Goda (2010): Hs = approx 0.6 to 0.7 h</t>
  </si>
  <si>
    <t>Stability per block: each block weights 1.2 x 1.4 x 9 = 15 m3 = 30 t</t>
  </si>
  <si>
    <t>with friction coeff of 0.75, the block weighting of 30 t can slide over another block for Fh &gt; 22 t</t>
  </si>
  <si>
    <t>Lo (m)</t>
  </si>
  <si>
    <t>left</t>
  </si>
  <si>
    <t>right</t>
  </si>
  <si>
    <t>left must</t>
  </si>
  <si>
    <t>be = right</t>
  </si>
  <si>
    <t>period of offshore significant wave  &gt;&gt;&gt;&gt;&gt;&gt;&gt;&gt;&gt;&gt;&gt;&gt;&gt;&gt;&gt;&gt;&gt;&gt;&gt;&gt;&gt;&gt;&gt;</t>
  </si>
  <si>
    <t>Fh on one block at SWL is 15.8 x 1.2 x 1.4 = 26 t  so stability per block is not ok at the crest (safety = 22/26 = 0.85)</t>
  </si>
  <si>
    <t>Fh on one block at toe is 14 x 1.2 x 1.4 = 23 t  so stability per block is nearly ok at the toe (safety = 22/23 = 0.96)</t>
  </si>
  <si>
    <t>This corresponds to the observed blocks on site: the top is destroyed and the toe is still in place</t>
  </si>
  <si>
    <t>Hence large waves travel to the site and break on the shallows just in front of the BW</t>
  </si>
  <si>
    <t>computed as follows:</t>
  </si>
  <si>
    <t>After Goda (1974) the max wave pressure on a vertical wall perpendicular to the direction of wave propagation is</t>
  </si>
  <si>
    <t>L at waterdepth h</t>
  </si>
  <si>
    <t>specific weight of water</t>
  </si>
  <si>
    <t>vol. talus</t>
  </si>
  <si>
    <t>implict computation of L:</t>
  </si>
  <si>
    <t>First I show you the longitudinal profile of the BW (from Younes data). You can see the “zero” line at the end of the “emerged” BW = the beginning of the “submerged” BW. So the structures begin at -147.5 m and end at +936 m.</t>
  </si>
  <si>
    <t>I confirm the total volume of 131 000 m3 found by Younes (close to Yorke’s  “1/5 million cubic yards”). BUT, the sea bed level is higher on the South side and that means that sedimentation was induced by South waves that really exist according to Younes (who was born there in Bekalta).</t>
  </si>
  <si>
    <t>If I compute the BW volume based on the deeper northern sea bed, the total volume becomes 176 000 m3 for the 936 m submerged part.</t>
  </si>
  <si>
    <t>You can see that 590 m is at a depth of around -6 m, presently with a height of about 2 m. We suppose that the initial crest might have been at + 4 m.</t>
  </si>
  <si>
    <t>If the initial structure was 12 m wide (according to Daux), the total initial volume would have been around 110 000 m3 for the 936 m submerged part. So we have quite a lot more material presently on site!?</t>
  </si>
  <si>
    <t>Yorke (1967) mentions an average block size of 1.5 x 1 x 8 m and Younes cites Lézine (1961) with a structure built “par strates” (layers) of 1.2 x 0.95 to 1.4 x 9 to 10 m, which is fairly similar to Yorke’s observations.</t>
  </si>
  <si>
    <t>According to Younes’ own observations, some lateral planks of the initial formwork are still visible, in addition to the transverse beams mentioned by other authors. We must therefore admit that this 10 m high vertical BW was built in layers of 1.2 m high by means of wooden caissons. Imagine how they were able to get the caissons down there and to pour the concrete into them !!??</t>
  </si>
  <si>
    <t>About structural stability: on the water depth of 6 m, we may consider that the breaking wave is Hs = 4 m. A monolithic structure 10 m high and 12 m wide would probably resist such wave attack, but a sliced structure consisting of 1.2 m high layers would be destroyed layer after layer (as far as I can compute such things!).</t>
  </si>
  <si>
    <t>This means that removed blocks must be on the South side and that the initial BW was near the northern edge of the present remains.</t>
  </si>
  <si>
    <t xml:space="preserve">I agree with you that it would be a pity to leave such a huge work exposed to waves from the North without protecting it by means of a rubble mound placed in front of it on the northern side. It would be quite easy dropping rubble from the top of the vertical structure. So I went back to my xls speadsheet and found that a rubble mound placed in front and against the vertical BW would require … 70 000 m3. The total volume now being 110 000 + 70 000 m3, very close to the 176 000 m3 presently available on site! C’est magique ! It may be a coincidence but this hypothesis fits both modern engineering practise and the observed remains on site. </t>
  </si>
  <si>
    <t>This means that rubble (0.5 to 1 m stones) should be found on the northern side and larger blocks of concrete (up to 1.2 X 1.4 X 9 m) on the southern side of the present remains. The initial row of concrete blocks close to the sea bed may still be in place and show the initial alignment hidden by thick growths of weed.</t>
  </si>
  <si>
    <t>Valeurs recommandées par Goda (2000) et Takahashi</t>
  </si>
  <si>
    <t>« Pour la conception de digues verticales au Japon, les coefficients de sécurité contre le</t>
  </si>
  <si>
    <t>glissement et le renversement ne doivent pas être inférieurs à 1,2. Le coefficient de frottement</t>
  </si>
  <si>
    <t>entre le béton et les pierres est pris en général égal à 0,60. »</t>
  </si>
  <si>
    <t>Coefficient de sécurité 1,2 au moins</t>
  </si>
  <si>
    <t>L’épaisseur minimale de soubassement demandée au Japon est de 1,5 m.</t>
  </si>
  <si>
    <t>Dans Takahashi (1997), on trouve le tableau suivant :</t>
  </si>
  <si>
    <t>Valeur du coefficient de frottement</t>
  </si>
  <si>
    <t>Extrait du rapport CETMEF sur les coeff de friction (p 55-56):</t>
  </si>
  <si>
    <t>On se réfère ici à la deuxième édition du livre de Goda « Random seas and Design in Maritime Structures », publiée en 2000.</t>
  </si>
  <si>
    <t>Béton sur béton: 0,50</t>
  </si>
  <si>
    <t>Béton sur base de rocher: 0,50</t>
  </si>
  <si>
    <t>Béton sur cailloux (rubble stone): 0,60</t>
  </si>
  <si>
    <t>Cailloux sur cailloux (rubble stone): 0,80</t>
  </si>
  <si>
    <t>Takahashi (1995) préconise la même valeur de 0,60 pour le coefficient de frottement et de 1,2 pour la valeur minimale du coefficient de sécurité.</t>
  </si>
  <si>
    <t>Coefficient de frottement entre béton et soubassement de pierres (rubble): 0,60</t>
  </si>
  <si>
    <t>une certaine irrégularité de la surface supérieure est probable et même souhaitable: on a retenu un coeff de 0.75.</t>
  </si>
  <si>
    <t>Cette dernière valeur est intéressante pour du béton romain coulé sous l'eau sur un béton coulé antérieurement:</t>
  </si>
  <si>
    <t>La sécurité de 1.2 est à retenir aussi: c'est le minimum pour avoir une bonne certitude de stabilité.</t>
  </si>
  <si>
    <t>Figure: section longit de Younes</t>
  </si>
  <si>
    <t>Figures: section Thapsus hypothèse, Empories</t>
  </si>
  <si>
    <t>Ancient vertical breakwaters</t>
  </si>
  <si>
    <t xml:space="preserve">The flattening out depends on the stone size. </t>
  </si>
  <si>
    <t>If we take a water depth h = 6 m (like Thapsus) in figure below</t>
  </si>
  <si>
    <t>Figure "Stability of stones according to water depth and rubble mound crest level"</t>
  </si>
  <si>
    <t>We can read from that figure:</t>
  </si>
  <si>
    <t>For Dn = 1 m : little movement</t>
  </si>
  <si>
    <t>For Dn = 0.5 m : BW crest stabilises at 3 m above sea bed</t>
  </si>
  <si>
    <t>For Dn = 0.25 m: BW crest stabilises below 1.5 m above sea bed</t>
  </si>
  <si>
    <t>Suppose initial structure was trapezoidal with crest at +4 m above SWL (= 165 m2 cross-section) and made of a mix of 0.25 and 0.50 m stones;</t>
  </si>
  <si>
    <t>Suppose large 1 m blocks were placed on top as an armour, but nevertheless removed progressively by waves (blocks tumbling to the rear or front toe of the BW), leaving around 135 m2 of smaller stones unprotected;</t>
  </si>
  <si>
    <t>Then, these 135 m2 would be flattened over say 65 m x 2 m … like in Thapsus!</t>
  </si>
  <si>
    <t>(but this BW was not made solely of rubble and probably also included much larger concrete blocks, as reported by Yorke in 1966)</t>
  </si>
  <si>
    <t>Fond moyen</t>
  </si>
  <si>
    <t>sur fonds Nord</t>
  </si>
  <si>
    <t>Fond Nord</t>
  </si>
  <si>
    <t>Fond Sud</t>
  </si>
  <si>
    <t xml:space="preserve">Yorke (1966): </t>
  </si>
  <si>
    <t xml:space="preserve"> cubic yards = </t>
  </si>
  <si>
    <t>m3</t>
  </si>
  <si>
    <t>Yorke (1966) gave a first description of the submerged BW</t>
  </si>
  <si>
    <t>vertical</t>
  </si>
  <si>
    <t>niv. Ruine</t>
  </si>
  <si>
    <t>haut. Ruine</t>
  </si>
  <si>
    <t>larg. Ruine</t>
  </si>
  <si>
    <t>vol. ruine</t>
  </si>
  <si>
    <t>trapèze</t>
  </si>
  <si>
    <t>1:1</t>
  </si>
  <si>
    <t>Nord 1:1</t>
  </si>
  <si>
    <t>Global stability: from -6 m up to +4 m the BW height is 10 m x width of 10 m = 100 m2/m = 200 ton/m</t>
  </si>
  <si>
    <t>with friction coeff of 0.60, the BW weighting of 200 t/m can slide over its foundation for Fh &gt; 120 t/m</t>
  </si>
  <si>
    <t>for Fh = 132 t/m global stability is nearly ok (safety = 120/132 = 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</si>
</sst>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
    <numFmt numFmtId="166" formatCode="0.0"/>
  </numFmts>
  <fonts count="5" x14ac:knownFonts="1">
    <font>
      <sz val="11"/>
      <color theme="1"/>
      <name val="Calibri"/>
      <family val="2"/>
      <scheme val="minor"/>
    </font>
    <font>
      <b/>
      <sz val="11"/>
      <color theme="1"/>
      <name val="Calibri"/>
      <family val="2"/>
      <scheme val="minor"/>
    </font>
    <font>
      <u/>
      <sz val="11"/>
      <color theme="1"/>
      <name val="Calibri"/>
      <family val="2"/>
      <scheme val="minor"/>
    </font>
    <font>
      <sz val="11"/>
      <color rgb="FF1F497D"/>
      <name val="Calibri"/>
      <family val="2"/>
    </font>
    <font>
      <sz val="11"/>
      <color rgb="FF1F497D"/>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left"/>
    </xf>
    <xf numFmtId="1" fontId="0" fillId="0" borderId="0" xfId="0" applyNumberFormat="1" applyAlignment="1">
      <alignment horizontal="center"/>
    </xf>
    <xf numFmtId="1" fontId="1" fillId="0" borderId="0" xfId="0" applyNumberFormat="1" applyFont="1" applyAlignment="1">
      <alignment horizontal="center"/>
    </xf>
    <xf numFmtId="0" fontId="1" fillId="2" borderId="0" xfId="0" applyFont="1" applyFill="1" applyAlignment="1">
      <alignment horizontal="center"/>
    </xf>
    <xf numFmtId="0" fontId="0" fillId="2" borderId="0" xfId="0" applyFill="1" applyAlignment="1">
      <alignment horizontal="center"/>
    </xf>
    <xf numFmtId="1" fontId="0" fillId="2" borderId="0" xfId="0" applyNumberFormat="1" applyFill="1" applyAlignment="1">
      <alignment horizontal="center"/>
    </xf>
    <xf numFmtId="1" fontId="1" fillId="2" borderId="0" xfId="0" applyNumberFormat="1" applyFont="1" applyFill="1" applyAlignment="1">
      <alignment horizontal="center"/>
    </xf>
    <xf numFmtId="0" fontId="1" fillId="2" borderId="0" xfId="0" applyFont="1" applyFill="1"/>
    <xf numFmtId="0" fontId="0" fillId="2" borderId="0" xfId="0" applyFill="1"/>
    <xf numFmtId="0" fontId="0" fillId="0" borderId="0" xfId="0" quotePrefix="1"/>
    <xf numFmtId="2" fontId="0" fillId="0" borderId="0" xfId="0" applyNumberFormat="1" applyAlignment="1">
      <alignment horizontal="center"/>
    </xf>
    <xf numFmtId="166" fontId="0" fillId="0" borderId="0" xfId="0" applyNumberFormat="1" applyAlignment="1">
      <alignment horizontal="center"/>
    </xf>
    <xf numFmtId="166" fontId="1" fillId="0" borderId="0" xfId="0" applyNumberFormat="1" applyFont="1" applyAlignment="1">
      <alignment horizontal="center"/>
    </xf>
    <xf numFmtId="0" fontId="0" fillId="3" borderId="0" xfId="0" applyFill="1"/>
    <xf numFmtId="0" fontId="0" fillId="3" borderId="0" xfId="0" applyFill="1" applyAlignment="1">
      <alignment horizontal="center"/>
    </xf>
    <xf numFmtId="0" fontId="0" fillId="0" borderId="2" xfId="0" applyBorder="1"/>
    <xf numFmtId="0" fontId="0" fillId="0" borderId="3" xfId="0" applyBorder="1"/>
    <xf numFmtId="0" fontId="0" fillId="0" borderId="4" xfId="0" applyBorder="1"/>
    <xf numFmtId="0" fontId="0" fillId="0" borderId="0" xfId="0" applyBorder="1" applyAlignment="1">
      <alignment horizontal="center"/>
    </xf>
    <xf numFmtId="0" fontId="0" fillId="0" borderId="5" xfId="0" applyBorder="1"/>
    <xf numFmtId="0" fontId="0" fillId="3" borderId="0" xfId="0" applyFill="1" applyBorder="1" applyAlignment="1">
      <alignment horizontal="center"/>
    </xf>
    <xf numFmtId="165" fontId="0" fillId="0" borderId="0" xfId="0" applyNumberFormat="1" applyBorder="1" applyAlignment="1">
      <alignment horizontal="center"/>
    </xf>
    <xf numFmtId="0" fontId="0" fillId="0" borderId="6" xfId="0" applyBorder="1"/>
    <xf numFmtId="164" fontId="0" fillId="0" borderId="7" xfId="0" applyNumberFormat="1" applyBorder="1" applyAlignment="1">
      <alignment horizontal="center"/>
    </xf>
    <xf numFmtId="0" fontId="0" fillId="0" borderId="8" xfId="0" applyBorder="1"/>
    <xf numFmtId="0" fontId="2" fillId="0" borderId="1" xfId="0" applyFont="1" applyBorder="1"/>
    <xf numFmtId="0" fontId="1" fillId="0" borderId="0" xfId="0" applyFont="1" applyAlignment="1">
      <alignment horizontal="center"/>
    </xf>
    <xf numFmtId="0" fontId="3" fillId="0" borderId="0" xfId="0" applyFont="1" applyAlignment="1">
      <alignment vertical="center" wrapText="1"/>
    </xf>
    <xf numFmtId="0" fontId="0" fillId="0" borderId="0" xfId="0" applyAlignment="1">
      <alignment wrapText="1"/>
    </xf>
    <xf numFmtId="0" fontId="0" fillId="0" borderId="0" xfId="0" applyAlignment="1">
      <alignment horizontal="center" wrapText="1"/>
    </xf>
    <xf numFmtId="0" fontId="0" fillId="0" borderId="1" xfId="0" applyBorder="1"/>
    <xf numFmtId="0" fontId="1" fillId="0" borderId="4" xfId="0" applyFont="1" applyBorder="1"/>
    <xf numFmtId="0" fontId="1" fillId="0" borderId="0" xfId="0" applyFont="1" applyBorder="1"/>
    <xf numFmtId="0" fontId="1" fillId="0" borderId="5" xfId="0" applyFont="1" applyBorder="1"/>
    <xf numFmtId="0" fontId="0" fillId="0" borderId="0" xfId="0" applyBorder="1"/>
    <xf numFmtId="0" fontId="0" fillId="0" borderId="7" xfId="0" applyBorder="1"/>
    <xf numFmtId="0" fontId="1" fillId="0" borderId="0" xfId="0" applyFont="1" applyAlignment="1">
      <alignment wrapText="1"/>
    </xf>
    <xf numFmtId="1" fontId="1" fillId="0" borderId="0" xfId="0" applyNumberFormat="1" applyFont="1" applyAlignment="1">
      <alignment horizontal="center"/>
    </xf>
    <xf numFmtId="0" fontId="1" fillId="0" borderId="0" xfId="0" applyFont="1" applyAlignment="1">
      <alignment horizontal="center"/>
    </xf>
    <xf numFmtId="0" fontId="3" fillId="0" borderId="0" xfId="0" applyFont="1" applyAlignment="1">
      <alignment vertical="center"/>
    </xf>
    <xf numFmtId="0" fontId="4" fillId="0" borderId="0" xfId="0" applyFont="1"/>
    <xf numFmtId="1"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xf>
    <xf numFmtId="3" fontId="0" fillId="0" borderId="0" xfId="0" applyNumberFormat="1" applyAlignment="1">
      <alignment horizontal="center"/>
    </xf>
    <xf numFmtId="0" fontId="0" fillId="0" borderId="0" xfId="0" applyAlignment="1">
      <alignment horizontal="left"/>
    </xf>
    <xf numFmtId="20" fontId="0" fillId="0" borderId="0" xfId="0" quotePrefix="1"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43963254593173E-2"/>
          <c:y val="0.11597987751531058"/>
          <c:w val="0.87515091863517047"/>
          <c:h val="0.8326195683872849"/>
        </c:manualLayout>
      </c:layout>
      <c:scatterChart>
        <c:scatterStyle val="lineMarker"/>
        <c:varyColors val="0"/>
        <c:ser>
          <c:idx val="0"/>
          <c:order val="0"/>
          <c:tx>
            <c:v>BW</c:v>
          </c:tx>
          <c:spPr>
            <a:ln w="28575">
              <a:solidFill>
                <a:schemeClr val="accent1"/>
              </a:solidFill>
            </a:ln>
          </c:spPr>
          <c:marker>
            <c:symbol val="diamond"/>
            <c:size val="3"/>
          </c:marker>
          <c:xVal>
            <c:numRef>
              <c:f>Volume!$I$3:$I$18</c:f>
              <c:numCache>
                <c:formatCode>General</c:formatCode>
                <c:ptCount val="16"/>
                <c:pt idx="0">
                  <c:v>-147.5</c:v>
                </c:pt>
                <c:pt idx="1">
                  <c:v>-115.5</c:v>
                </c:pt>
                <c:pt idx="2">
                  <c:v>-43.5</c:v>
                </c:pt>
                <c:pt idx="3">
                  <c:v>0</c:v>
                </c:pt>
                <c:pt idx="4">
                  <c:v>0</c:v>
                </c:pt>
                <c:pt idx="5">
                  <c:v>92</c:v>
                </c:pt>
                <c:pt idx="6">
                  <c:v>192</c:v>
                </c:pt>
                <c:pt idx="7">
                  <c:v>316</c:v>
                </c:pt>
                <c:pt idx="8">
                  <c:v>406</c:v>
                </c:pt>
                <c:pt idx="9">
                  <c:v>496</c:v>
                </c:pt>
                <c:pt idx="10">
                  <c:v>583</c:v>
                </c:pt>
                <c:pt idx="11">
                  <c:v>719</c:v>
                </c:pt>
                <c:pt idx="12">
                  <c:v>822</c:v>
                </c:pt>
                <c:pt idx="13">
                  <c:v>906</c:v>
                </c:pt>
                <c:pt idx="14">
                  <c:v>936</c:v>
                </c:pt>
                <c:pt idx="15">
                  <c:v>936</c:v>
                </c:pt>
              </c:numCache>
            </c:numRef>
          </c:xVal>
          <c:yVal>
            <c:numRef>
              <c:f>Volume!$E$3:$E$18</c:f>
              <c:numCache>
                <c:formatCode>General</c:formatCode>
                <c:ptCount val="16"/>
                <c:pt idx="0">
                  <c:v>2.4500000000000002</c:v>
                </c:pt>
                <c:pt idx="1">
                  <c:v>2.4500000000000002</c:v>
                </c:pt>
                <c:pt idx="2">
                  <c:v>2.4500000000000002</c:v>
                </c:pt>
                <c:pt idx="3">
                  <c:v>2.4500000000000002</c:v>
                </c:pt>
                <c:pt idx="4">
                  <c:v>-0.9</c:v>
                </c:pt>
                <c:pt idx="5">
                  <c:v>-1.2</c:v>
                </c:pt>
                <c:pt idx="6">
                  <c:v>-2</c:v>
                </c:pt>
                <c:pt idx="7">
                  <c:v>-3.6</c:v>
                </c:pt>
                <c:pt idx="8">
                  <c:v>-3.6</c:v>
                </c:pt>
                <c:pt idx="9">
                  <c:v>-3.6</c:v>
                </c:pt>
                <c:pt idx="10">
                  <c:v>-3.8</c:v>
                </c:pt>
                <c:pt idx="11">
                  <c:v>-3.8</c:v>
                </c:pt>
                <c:pt idx="12">
                  <c:v>-3.8</c:v>
                </c:pt>
                <c:pt idx="13">
                  <c:v>-6.2</c:v>
                </c:pt>
                <c:pt idx="14">
                  <c:v>-6.2</c:v>
                </c:pt>
                <c:pt idx="15">
                  <c:v>-7.8500000000000005</c:v>
                </c:pt>
              </c:numCache>
            </c:numRef>
          </c:yVal>
          <c:smooth val="0"/>
          <c:extLst>
            <c:ext xmlns:c16="http://schemas.microsoft.com/office/drawing/2014/chart" uri="{C3380CC4-5D6E-409C-BE32-E72D297353CC}">
              <c16:uniqueId val="{00000000-8280-4C46-9D33-1D6014F66AF9}"/>
            </c:ext>
          </c:extLst>
        </c:ser>
        <c:ser>
          <c:idx val="1"/>
          <c:order val="1"/>
          <c:tx>
            <c:v>Sea bed</c:v>
          </c:tx>
          <c:spPr>
            <a:ln w="28575">
              <a:solidFill>
                <a:srgbClr val="C00000"/>
              </a:solidFill>
            </a:ln>
          </c:spPr>
          <c:marker>
            <c:symbol val="square"/>
            <c:size val="3"/>
          </c:marker>
          <c:xVal>
            <c:numRef>
              <c:f>Volume!$I$3:$I$17</c:f>
              <c:numCache>
                <c:formatCode>General</c:formatCode>
                <c:ptCount val="15"/>
                <c:pt idx="0">
                  <c:v>-147.5</c:v>
                </c:pt>
                <c:pt idx="1">
                  <c:v>-115.5</c:v>
                </c:pt>
                <c:pt idx="2">
                  <c:v>-43.5</c:v>
                </c:pt>
                <c:pt idx="3">
                  <c:v>0</c:v>
                </c:pt>
                <c:pt idx="4">
                  <c:v>0</c:v>
                </c:pt>
                <c:pt idx="5">
                  <c:v>92</c:v>
                </c:pt>
                <c:pt idx="6">
                  <c:v>192</c:v>
                </c:pt>
                <c:pt idx="7">
                  <c:v>316</c:v>
                </c:pt>
                <c:pt idx="8">
                  <c:v>406</c:v>
                </c:pt>
                <c:pt idx="9">
                  <c:v>496</c:v>
                </c:pt>
                <c:pt idx="10">
                  <c:v>583</c:v>
                </c:pt>
                <c:pt idx="11">
                  <c:v>719</c:v>
                </c:pt>
                <c:pt idx="12">
                  <c:v>822</c:v>
                </c:pt>
                <c:pt idx="13">
                  <c:v>906</c:v>
                </c:pt>
                <c:pt idx="14">
                  <c:v>936</c:v>
                </c:pt>
              </c:numCache>
            </c:numRef>
          </c:xVal>
          <c:yVal>
            <c:numRef>
              <c:f>Volume!$D$3:$D$17</c:f>
              <c:numCache>
                <c:formatCode>General</c:formatCode>
                <c:ptCount val="15"/>
                <c:pt idx="0">
                  <c:v>0</c:v>
                </c:pt>
                <c:pt idx="1">
                  <c:v>0</c:v>
                </c:pt>
                <c:pt idx="2">
                  <c:v>-0.8</c:v>
                </c:pt>
                <c:pt idx="3">
                  <c:v>-1.4</c:v>
                </c:pt>
                <c:pt idx="4">
                  <c:v>-1.4</c:v>
                </c:pt>
                <c:pt idx="5">
                  <c:v>-1.95</c:v>
                </c:pt>
                <c:pt idx="6">
                  <c:v>-3.9</c:v>
                </c:pt>
                <c:pt idx="7">
                  <c:v>-6</c:v>
                </c:pt>
                <c:pt idx="8">
                  <c:v>-6</c:v>
                </c:pt>
                <c:pt idx="9">
                  <c:v>-6</c:v>
                </c:pt>
                <c:pt idx="10">
                  <c:v>-5.9</c:v>
                </c:pt>
                <c:pt idx="11">
                  <c:v>-5.9</c:v>
                </c:pt>
                <c:pt idx="12">
                  <c:v>-5.9</c:v>
                </c:pt>
                <c:pt idx="13">
                  <c:v>-7.8500000000000005</c:v>
                </c:pt>
                <c:pt idx="14">
                  <c:v>-7.8500000000000005</c:v>
                </c:pt>
              </c:numCache>
            </c:numRef>
          </c:yVal>
          <c:smooth val="0"/>
          <c:extLst>
            <c:ext xmlns:c16="http://schemas.microsoft.com/office/drawing/2014/chart" uri="{C3380CC4-5D6E-409C-BE32-E72D297353CC}">
              <c16:uniqueId val="{00000001-8280-4C46-9D33-1D6014F66AF9}"/>
            </c:ext>
          </c:extLst>
        </c:ser>
        <c:dLbls>
          <c:showLegendKey val="0"/>
          <c:showVal val="0"/>
          <c:showCatName val="0"/>
          <c:showSerName val="0"/>
          <c:showPercent val="0"/>
          <c:showBubbleSize val="0"/>
        </c:dLbls>
        <c:axId val="134248320"/>
        <c:axId val="134249856"/>
      </c:scatterChart>
      <c:valAx>
        <c:axId val="134248320"/>
        <c:scaling>
          <c:orientation val="minMax"/>
        </c:scaling>
        <c:delete val="0"/>
        <c:axPos val="b"/>
        <c:majorGridlines/>
        <c:numFmt formatCode="General" sourceLinked="1"/>
        <c:majorTickMark val="out"/>
        <c:minorTickMark val="none"/>
        <c:tickLblPos val="high"/>
        <c:crossAx val="134249856"/>
        <c:crossesAt val="4"/>
        <c:crossBetween val="midCat"/>
      </c:valAx>
      <c:valAx>
        <c:axId val="134249856"/>
        <c:scaling>
          <c:orientation val="minMax"/>
          <c:max val="4"/>
          <c:min val="-10"/>
        </c:scaling>
        <c:delete val="0"/>
        <c:axPos val="l"/>
        <c:majorGridlines/>
        <c:numFmt formatCode="General" sourceLinked="1"/>
        <c:majorTickMark val="out"/>
        <c:minorTickMark val="none"/>
        <c:tickLblPos val="nextTo"/>
        <c:crossAx val="134248320"/>
        <c:crossesAt val="-400"/>
        <c:crossBetween val="midCat"/>
        <c:majorUnit val="2"/>
      </c:valAx>
    </c:plotArea>
    <c:legend>
      <c:legendPos val="r"/>
      <c:layout>
        <c:manualLayout>
          <c:xMode val="edge"/>
          <c:yMode val="edge"/>
          <c:x val="9.1972659667541576E-2"/>
          <c:y val="0.74961614173228341"/>
          <c:w val="0.18307042869641293"/>
          <c:h val="0.16743438320209975"/>
        </c:manualLayout>
      </c:layout>
      <c:overlay val="0"/>
      <c:spPr>
        <a:solidFill>
          <a:schemeClr val="bg1"/>
        </a:solidFill>
        <a:ln>
          <a:solidFill>
            <a:sysClr val="windowText" lastClr="000000"/>
          </a:solidFill>
        </a:ln>
      </c:spPr>
      <c:txPr>
        <a:bodyPr/>
        <a:lstStyle/>
        <a:p>
          <a:pPr>
            <a:defRPr>
              <a:ln>
                <a:noFill/>
              </a:ln>
            </a:defRPr>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43963254593173E-2"/>
          <c:y val="0.11597987751531058"/>
          <c:w val="0.87515091863517047"/>
          <c:h val="0.8326195683872849"/>
        </c:manualLayout>
      </c:layout>
      <c:scatterChart>
        <c:scatterStyle val="lineMarker"/>
        <c:varyColors val="0"/>
        <c:ser>
          <c:idx val="0"/>
          <c:order val="0"/>
          <c:tx>
            <c:v>Môle</c:v>
          </c:tx>
          <c:spPr>
            <a:ln w="28575">
              <a:solidFill>
                <a:schemeClr val="accent1"/>
              </a:solidFill>
            </a:ln>
          </c:spPr>
          <c:marker>
            <c:symbol val="diamond"/>
            <c:size val="3"/>
          </c:marker>
          <c:xVal>
            <c:numRef>
              <c:f>Volume!$I$3:$I$18</c:f>
              <c:numCache>
                <c:formatCode>General</c:formatCode>
                <c:ptCount val="16"/>
                <c:pt idx="0">
                  <c:v>-147.5</c:v>
                </c:pt>
                <c:pt idx="1">
                  <c:v>-115.5</c:v>
                </c:pt>
                <c:pt idx="2">
                  <c:v>-43.5</c:v>
                </c:pt>
                <c:pt idx="3">
                  <c:v>0</c:v>
                </c:pt>
                <c:pt idx="4">
                  <c:v>0</c:v>
                </c:pt>
                <c:pt idx="5">
                  <c:v>92</c:v>
                </c:pt>
                <c:pt idx="6">
                  <c:v>192</c:v>
                </c:pt>
                <c:pt idx="7">
                  <c:v>316</c:v>
                </c:pt>
                <c:pt idx="8">
                  <c:v>406</c:v>
                </c:pt>
                <c:pt idx="9">
                  <c:v>496</c:v>
                </c:pt>
                <c:pt idx="10">
                  <c:v>583</c:v>
                </c:pt>
                <c:pt idx="11">
                  <c:v>719</c:v>
                </c:pt>
                <c:pt idx="12">
                  <c:v>822</c:v>
                </c:pt>
                <c:pt idx="13">
                  <c:v>906</c:v>
                </c:pt>
                <c:pt idx="14">
                  <c:v>936</c:v>
                </c:pt>
                <c:pt idx="15">
                  <c:v>936</c:v>
                </c:pt>
              </c:numCache>
            </c:numRef>
          </c:xVal>
          <c:yVal>
            <c:numRef>
              <c:f>Volume!$E$3:$E$18</c:f>
              <c:numCache>
                <c:formatCode>General</c:formatCode>
                <c:ptCount val="16"/>
                <c:pt idx="0">
                  <c:v>2.4500000000000002</c:v>
                </c:pt>
                <c:pt idx="1">
                  <c:v>2.4500000000000002</c:v>
                </c:pt>
                <c:pt idx="2">
                  <c:v>2.4500000000000002</c:v>
                </c:pt>
                <c:pt idx="3">
                  <c:v>2.4500000000000002</c:v>
                </c:pt>
                <c:pt idx="4">
                  <c:v>-0.9</c:v>
                </c:pt>
                <c:pt idx="5">
                  <c:v>-1.2</c:v>
                </c:pt>
                <c:pt idx="6">
                  <c:v>-2</c:v>
                </c:pt>
                <c:pt idx="7">
                  <c:v>-3.6</c:v>
                </c:pt>
                <c:pt idx="8">
                  <c:v>-3.6</c:v>
                </c:pt>
                <c:pt idx="9">
                  <c:v>-3.6</c:v>
                </c:pt>
                <c:pt idx="10">
                  <c:v>-3.8</c:v>
                </c:pt>
                <c:pt idx="11">
                  <c:v>-3.8</c:v>
                </c:pt>
                <c:pt idx="12">
                  <c:v>-3.8</c:v>
                </c:pt>
                <c:pt idx="13">
                  <c:v>-6.2</c:v>
                </c:pt>
                <c:pt idx="14">
                  <c:v>-6.2</c:v>
                </c:pt>
                <c:pt idx="15">
                  <c:v>-7.8500000000000005</c:v>
                </c:pt>
              </c:numCache>
            </c:numRef>
          </c:yVal>
          <c:smooth val="0"/>
          <c:extLst>
            <c:ext xmlns:c16="http://schemas.microsoft.com/office/drawing/2014/chart" uri="{C3380CC4-5D6E-409C-BE32-E72D297353CC}">
              <c16:uniqueId val="{00000000-D7B8-440A-A39D-0D56A2F22417}"/>
            </c:ext>
          </c:extLst>
        </c:ser>
        <c:ser>
          <c:idx val="1"/>
          <c:order val="1"/>
          <c:tx>
            <c:v>Fonds</c:v>
          </c:tx>
          <c:spPr>
            <a:ln w="28575">
              <a:solidFill>
                <a:srgbClr val="C00000"/>
              </a:solidFill>
            </a:ln>
          </c:spPr>
          <c:marker>
            <c:symbol val="square"/>
            <c:size val="3"/>
          </c:marker>
          <c:xVal>
            <c:numRef>
              <c:f>Volume!$I$3:$I$17</c:f>
              <c:numCache>
                <c:formatCode>General</c:formatCode>
                <c:ptCount val="15"/>
                <c:pt idx="0">
                  <c:v>-147.5</c:v>
                </c:pt>
                <c:pt idx="1">
                  <c:v>-115.5</c:v>
                </c:pt>
                <c:pt idx="2">
                  <c:v>-43.5</c:v>
                </c:pt>
                <c:pt idx="3">
                  <c:v>0</c:v>
                </c:pt>
                <c:pt idx="4">
                  <c:v>0</c:v>
                </c:pt>
                <c:pt idx="5">
                  <c:v>92</c:v>
                </c:pt>
                <c:pt idx="6">
                  <c:v>192</c:v>
                </c:pt>
                <c:pt idx="7">
                  <c:v>316</c:v>
                </c:pt>
                <c:pt idx="8">
                  <c:v>406</c:v>
                </c:pt>
                <c:pt idx="9">
                  <c:v>496</c:v>
                </c:pt>
                <c:pt idx="10">
                  <c:v>583</c:v>
                </c:pt>
                <c:pt idx="11">
                  <c:v>719</c:v>
                </c:pt>
                <c:pt idx="12">
                  <c:v>822</c:v>
                </c:pt>
                <c:pt idx="13">
                  <c:v>906</c:v>
                </c:pt>
                <c:pt idx="14">
                  <c:v>936</c:v>
                </c:pt>
              </c:numCache>
            </c:numRef>
          </c:xVal>
          <c:yVal>
            <c:numRef>
              <c:f>Volume!$D$3:$D$17</c:f>
              <c:numCache>
                <c:formatCode>General</c:formatCode>
                <c:ptCount val="15"/>
                <c:pt idx="0">
                  <c:v>0</c:v>
                </c:pt>
                <c:pt idx="1">
                  <c:v>0</c:v>
                </c:pt>
                <c:pt idx="2">
                  <c:v>-0.8</c:v>
                </c:pt>
                <c:pt idx="3">
                  <c:v>-1.4</c:v>
                </c:pt>
                <c:pt idx="4">
                  <c:v>-1.4</c:v>
                </c:pt>
                <c:pt idx="5">
                  <c:v>-1.95</c:v>
                </c:pt>
                <c:pt idx="6">
                  <c:v>-3.9</c:v>
                </c:pt>
                <c:pt idx="7">
                  <c:v>-6</c:v>
                </c:pt>
                <c:pt idx="8">
                  <c:v>-6</c:v>
                </c:pt>
                <c:pt idx="9">
                  <c:v>-6</c:v>
                </c:pt>
                <c:pt idx="10">
                  <c:v>-5.9</c:v>
                </c:pt>
                <c:pt idx="11">
                  <c:v>-5.9</c:v>
                </c:pt>
                <c:pt idx="12">
                  <c:v>-5.9</c:v>
                </c:pt>
                <c:pt idx="13">
                  <c:v>-7.8500000000000005</c:v>
                </c:pt>
                <c:pt idx="14">
                  <c:v>-7.8500000000000005</c:v>
                </c:pt>
              </c:numCache>
            </c:numRef>
          </c:yVal>
          <c:smooth val="0"/>
          <c:extLst>
            <c:ext xmlns:c16="http://schemas.microsoft.com/office/drawing/2014/chart" uri="{C3380CC4-5D6E-409C-BE32-E72D297353CC}">
              <c16:uniqueId val="{00000001-D7B8-440A-A39D-0D56A2F22417}"/>
            </c:ext>
          </c:extLst>
        </c:ser>
        <c:dLbls>
          <c:showLegendKey val="0"/>
          <c:showVal val="0"/>
          <c:showCatName val="0"/>
          <c:showSerName val="0"/>
          <c:showPercent val="0"/>
          <c:showBubbleSize val="0"/>
        </c:dLbls>
        <c:axId val="134492544"/>
        <c:axId val="134494080"/>
      </c:scatterChart>
      <c:valAx>
        <c:axId val="134492544"/>
        <c:scaling>
          <c:orientation val="minMax"/>
        </c:scaling>
        <c:delete val="0"/>
        <c:axPos val="b"/>
        <c:majorGridlines/>
        <c:numFmt formatCode="General" sourceLinked="1"/>
        <c:majorTickMark val="out"/>
        <c:minorTickMark val="none"/>
        <c:tickLblPos val="high"/>
        <c:crossAx val="134494080"/>
        <c:crossesAt val="4"/>
        <c:crossBetween val="midCat"/>
      </c:valAx>
      <c:valAx>
        <c:axId val="134494080"/>
        <c:scaling>
          <c:orientation val="minMax"/>
          <c:max val="4"/>
          <c:min val="-10"/>
        </c:scaling>
        <c:delete val="0"/>
        <c:axPos val="l"/>
        <c:majorGridlines/>
        <c:numFmt formatCode="General" sourceLinked="1"/>
        <c:majorTickMark val="out"/>
        <c:minorTickMark val="none"/>
        <c:tickLblPos val="nextTo"/>
        <c:crossAx val="134492544"/>
        <c:crossesAt val="-400"/>
        <c:crossBetween val="midCat"/>
        <c:majorUnit val="2"/>
      </c:valAx>
    </c:plotArea>
    <c:legend>
      <c:legendPos val="r"/>
      <c:layout>
        <c:manualLayout>
          <c:xMode val="edge"/>
          <c:yMode val="edge"/>
          <c:x val="9.1972659667541576E-2"/>
          <c:y val="0.74961614173228341"/>
          <c:w val="0.18307042869641293"/>
          <c:h val="0.16743438320209975"/>
        </c:manualLayout>
      </c:layout>
      <c:overlay val="0"/>
      <c:spPr>
        <a:solidFill>
          <a:schemeClr val="bg1"/>
        </a:solidFill>
        <a:ln>
          <a:solidFill>
            <a:sysClr val="windowText" lastClr="000000"/>
          </a:solidFill>
        </a:ln>
      </c:spPr>
      <c:txPr>
        <a:bodyPr/>
        <a:lstStyle/>
        <a:p>
          <a:pPr>
            <a:defRPr>
              <a:ln>
                <a:noFill/>
              </a:ln>
            </a:defRPr>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581025</xdr:colOff>
      <xdr:row>18</xdr:row>
      <xdr:rowOff>61912</xdr:rowOff>
    </xdr:from>
    <xdr:to>
      <xdr:col>6</xdr:col>
      <xdr:colOff>581025</xdr:colOff>
      <xdr:row>32</xdr:row>
      <xdr:rowOff>138112</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5</xdr:row>
      <xdr:rowOff>180975</xdr:rowOff>
    </xdr:from>
    <xdr:to>
      <xdr:col>6</xdr:col>
      <xdr:colOff>47625</xdr:colOff>
      <xdr:row>20</xdr:row>
      <xdr:rowOff>66675</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workbookViewId="0">
      <selection activeCell="A43" sqref="A43"/>
    </sheetView>
  </sheetViews>
  <sheetFormatPr baseColWidth="10" defaultRowHeight="15" x14ac:dyDescent="0.25"/>
  <cols>
    <col min="1" max="1" width="125.7109375" style="32" customWidth="1"/>
    <col min="2" max="16384" width="11.42578125" style="32"/>
  </cols>
  <sheetData>
    <row r="1" spans="1:13" s="40" customFormat="1" x14ac:dyDescent="0.25">
      <c r="A1" s="40" t="s">
        <v>101</v>
      </c>
    </row>
    <row r="2" spans="1:13" customFormat="1" x14ac:dyDescent="0.25">
      <c r="A2" t="s">
        <v>15</v>
      </c>
      <c r="M2" s="3"/>
    </row>
    <row r="3" spans="1:13" customFormat="1" x14ac:dyDescent="0.25">
      <c r="A3" t="s">
        <v>16</v>
      </c>
      <c r="M3" s="3"/>
    </row>
    <row r="4" spans="1:13" customFormat="1" x14ac:dyDescent="0.25">
      <c r="A4" t="s">
        <v>13</v>
      </c>
      <c r="M4" s="3"/>
    </row>
    <row r="5" spans="1:13" customFormat="1" x14ac:dyDescent="0.25">
      <c r="A5" t="s">
        <v>17</v>
      </c>
      <c r="M5" s="3"/>
    </row>
    <row r="6" spans="1:13" customFormat="1" x14ac:dyDescent="0.25">
      <c r="A6" t="s">
        <v>14</v>
      </c>
      <c r="M6" s="3"/>
    </row>
    <row r="7" spans="1:13" ht="30" x14ac:dyDescent="0.25">
      <c r="A7" s="31" t="s">
        <v>69</v>
      </c>
    </row>
    <row r="8" spans="1:13" ht="45" x14ac:dyDescent="0.25">
      <c r="A8" s="31" t="s">
        <v>70</v>
      </c>
    </row>
    <row r="9" spans="1:13" x14ac:dyDescent="0.25">
      <c r="A9" s="31" t="s">
        <v>71</v>
      </c>
    </row>
    <row r="10" spans="1:13" x14ac:dyDescent="0.25">
      <c r="A10" s="33" t="s">
        <v>99</v>
      </c>
    </row>
    <row r="11" spans="1:13" ht="30" x14ac:dyDescent="0.25">
      <c r="A11" s="31" t="s">
        <v>72</v>
      </c>
    </row>
    <row r="12" spans="1:13" ht="30" x14ac:dyDescent="0.25">
      <c r="A12" s="31" t="s">
        <v>73</v>
      </c>
    </row>
    <row r="13" spans="1:13" x14ac:dyDescent="0.25">
      <c r="A13" s="31"/>
    </row>
    <row r="14" spans="1:13" ht="30" x14ac:dyDescent="0.25">
      <c r="A14" s="31" t="s">
        <v>74</v>
      </c>
    </row>
    <row r="15" spans="1:13" ht="45" x14ac:dyDescent="0.25">
      <c r="A15" s="31" t="s">
        <v>75</v>
      </c>
    </row>
    <row r="16" spans="1:13" ht="45" x14ac:dyDescent="0.25">
      <c r="A16" s="31" t="s">
        <v>76</v>
      </c>
    </row>
    <row r="17" spans="1:1" x14ac:dyDescent="0.25">
      <c r="A17" s="31" t="s">
        <v>77</v>
      </c>
    </row>
    <row r="18" spans="1:1" x14ac:dyDescent="0.25">
      <c r="A18" s="31"/>
    </row>
    <row r="19" spans="1:1" ht="75" x14ac:dyDescent="0.25">
      <c r="A19" s="31" t="s">
        <v>78</v>
      </c>
    </row>
    <row r="20" spans="1:1" ht="45" x14ac:dyDescent="0.25">
      <c r="A20" s="31" t="s">
        <v>79</v>
      </c>
    </row>
    <row r="22" spans="1:1" x14ac:dyDescent="0.25">
      <c r="A22" s="33" t="s">
        <v>100</v>
      </c>
    </row>
    <row r="24" spans="1:1" x14ac:dyDescent="0.25">
      <c r="A24" s="43" t="s">
        <v>102</v>
      </c>
    </row>
    <row r="25" spans="1:1" x14ac:dyDescent="0.25">
      <c r="A25" s="44" t="s">
        <v>103</v>
      </c>
    </row>
    <row r="27" spans="1:1" x14ac:dyDescent="0.25">
      <c r="A27" s="33" t="s">
        <v>104</v>
      </c>
    </row>
    <row r="29" spans="1:1" x14ac:dyDescent="0.25">
      <c r="A29" s="43" t="s">
        <v>105</v>
      </c>
    </row>
    <row r="30" spans="1:1" x14ac:dyDescent="0.25">
      <c r="A30" s="43" t="s">
        <v>106</v>
      </c>
    </row>
    <row r="31" spans="1:1" x14ac:dyDescent="0.25">
      <c r="A31" s="43" t="s">
        <v>107</v>
      </c>
    </row>
    <row r="32" spans="1:1" x14ac:dyDescent="0.25">
      <c r="A32" s="43" t="s">
        <v>108</v>
      </c>
    </row>
    <row r="33" spans="1:1" x14ac:dyDescent="0.25">
      <c r="A33" s="43" t="s">
        <v>109</v>
      </c>
    </row>
    <row r="34" spans="1:1" ht="30" x14ac:dyDescent="0.25">
      <c r="A34" s="31" t="s">
        <v>110</v>
      </c>
    </row>
    <row r="35" spans="1:1" x14ac:dyDescent="0.25">
      <c r="A35" s="43" t="s">
        <v>111</v>
      </c>
    </row>
    <row r="36" spans="1:1" x14ac:dyDescent="0.25">
      <c r="A36" s="43" t="s">
        <v>112</v>
      </c>
    </row>
  </sheetData>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7"/>
  <sheetViews>
    <sheetView tabSelected="1" zoomScaleNormal="100" workbookViewId="0"/>
  </sheetViews>
  <sheetFormatPr baseColWidth="10" defaultRowHeight="15" x14ac:dyDescent="0.25"/>
  <cols>
    <col min="1" max="10" width="11.42578125" style="3"/>
    <col min="11" max="11" width="13.7109375" style="3" customWidth="1"/>
    <col min="12" max="12" width="4.42578125" style="8" customWidth="1"/>
    <col min="13" max="14" width="11.42578125" style="3"/>
    <col min="15" max="15" width="4.42578125" style="12" customWidth="1"/>
    <col min="16" max="21" width="11.42578125" style="3"/>
    <col min="22" max="22" width="11.42578125" style="3" customWidth="1"/>
    <col min="23" max="23" width="4.42578125" style="12" customWidth="1"/>
    <col min="24" max="29" width="11.42578125" style="3"/>
  </cols>
  <sheetData>
    <row r="1" spans="1:29" s="1" customFormat="1" x14ac:dyDescent="0.25">
      <c r="A1" s="4" t="s">
        <v>0</v>
      </c>
      <c r="B1" s="2"/>
      <c r="C1" s="2"/>
      <c r="D1" s="2"/>
      <c r="E1" s="2"/>
      <c r="F1" s="2"/>
      <c r="G1" s="2"/>
      <c r="H1" s="2"/>
      <c r="I1" s="2"/>
      <c r="J1" s="2"/>
      <c r="K1" s="2"/>
      <c r="L1" s="7"/>
      <c r="M1" s="2"/>
      <c r="N1" s="2"/>
      <c r="O1" s="11"/>
      <c r="P1" s="2"/>
      <c r="Q1" s="2"/>
      <c r="R1" s="2"/>
      <c r="S1" s="2"/>
      <c r="T1" s="2"/>
      <c r="U1" s="2"/>
      <c r="V1" s="2"/>
      <c r="W1" s="11"/>
      <c r="X1" s="42"/>
      <c r="Y1" s="42"/>
      <c r="Z1" s="42"/>
      <c r="AA1" s="42"/>
      <c r="AB1" s="42"/>
      <c r="AC1" s="42"/>
    </row>
    <row r="2" spans="1:29" x14ac:dyDescent="0.25">
      <c r="A2" s="3" t="s">
        <v>1</v>
      </c>
      <c r="B2" s="3" t="s">
        <v>115</v>
      </c>
      <c r="C2" s="3" t="s">
        <v>116</v>
      </c>
      <c r="D2" s="3" t="s">
        <v>113</v>
      </c>
      <c r="E2" s="3" t="s">
        <v>122</v>
      </c>
      <c r="F2" s="3" t="s">
        <v>123</v>
      </c>
      <c r="G2" s="3" t="s">
        <v>124</v>
      </c>
      <c r="H2" s="3" t="s">
        <v>5</v>
      </c>
      <c r="I2" s="3" t="s">
        <v>8</v>
      </c>
      <c r="J2" s="3" t="s">
        <v>125</v>
      </c>
      <c r="M2" s="3" t="s">
        <v>123</v>
      </c>
      <c r="N2" s="3" t="s">
        <v>125</v>
      </c>
      <c r="P2" s="3" t="s">
        <v>115</v>
      </c>
      <c r="Q2" s="3" t="s">
        <v>3</v>
      </c>
      <c r="R2" s="3" t="s">
        <v>6</v>
      </c>
      <c r="S2" s="3" t="s">
        <v>4</v>
      </c>
      <c r="T2" s="3" t="s">
        <v>5</v>
      </c>
      <c r="U2" s="3" t="s">
        <v>2</v>
      </c>
      <c r="V2" s="3" t="s">
        <v>67</v>
      </c>
      <c r="X2" s="3" t="s">
        <v>115</v>
      </c>
      <c r="Y2" s="3" t="s">
        <v>3</v>
      </c>
      <c r="Z2" s="3" t="s">
        <v>6</v>
      </c>
      <c r="AA2" s="3" t="s">
        <v>4</v>
      </c>
      <c r="AB2" s="3" t="s">
        <v>5</v>
      </c>
      <c r="AC2" s="3" t="s">
        <v>2</v>
      </c>
    </row>
    <row r="3" spans="1:29" x14ac:dyDescent="0.25">
      <c r="A3" s="3" t="s">
        <v>9</v>
      </c>
      <c r="D3" s="3">
        <v>0</v>
      </c>
      <c r="E3" s="3">
        <v>2.4500000000000002</v>
      </c>
      <c r="F3" s="3">
        <f>E3-D3</f>
        <v>2.4500000000000002</v>
      </c>
      <c r="G3" s="3">
        <v>9</v>
      </c>
      <c r="H3" s="3">
        <v>32</v>
      </c>
      <c r="I3" s="3">
        <f t="shared" ref="I3:I4" si="0">I4-H3</f>
        <v>-147.5</v>
      </c>
      <c r="J3" s="5"/>
      <c r="K3" s="5"/>
      <c r="M3" s="47" t="s">
        <v>114</v>
      </c>
      <c r="N3" s="47"/>
      <c r="U3" s="3" t="s">
        <v>121</v>
      </c>
      <c r="V3" s="3" t="s">
        <v>128</v>
      </c>
      <c r="AC3" s="3" t="s">
        <v>126</v>
      </c>
    </row>
    <row r="4" spans="1:29" x14ac:dyDescent="0.25">
      <c r="A4" s="3" t="s">
        <v>10</v>
      </c>
      <c r="D4" s="3">
        <v>0</v>
      </c>
      <c r="E4" s="3">
        <v>2.4500000000000002</v>
      </c>
      <c r="F4" s="3">
        <f t="shared" ref="F4:F6" si="1">E4-D4</f>
        <v>2.4500000000000002</v>
      </c>
      <c r="G4" s="3">
        <v>9</v>
      </c>
      <c r="H4" s="3">
        <v>72</v>
      </c>
      <c r="I4" s="3">
        <f t="shared" si="0"/>
        <v>-115.5</v>
      </c>
      <c r="J4" s="5"/>
      <c r="K4" s="5"/>
      <c r="AC4" s="50" t="s">
        <v>127</v>
      </c>
    </row>
    <row r="5" spans="1:29" x14ac:dyDescent="0.25">
      <c r="A5" s="3" t="s">
        <v>11</v>
      </c>
      <c r="D5" s="3">
        <v>-0.8</v>
      </c>
      <c r="E5" s="3">
        <v>2.4500000000000002</v>
      </c>
      <c r="F5" s="3">
        <f t="shared" si="1"/>
        <v>3.25</v>
      </c>
      <c r="G5" s="3">
        <v>10</v>
      </c>
      <c r="H5" s="3">
        <v>43.5</v>
      </c>
      <c r="I5" s="3">
        <f>I7-H5</f>
        <v>-43.5</v>
      </c>
      <c r="J5" s="5"/>
      <c r="K5" s="5"/>
    </row>
    <row r="6" spans="1:29" x14ac:dyDescent="0.25">
      <c r="A6" s="3" t="s">
        <v>12</v>
      </c>
      <c r="D6" s="3">
        <v>-1.4</v>
      </c>
      <c r="E6" s="3">
        <v>2.4500000000000002</v>
      </c>
      <c r="F6" s="3">
        <f t="shared" si="1"/>
        <v>3.85</v>
      </c>
      <c r="G6" s="3">
        <v>10</v>
      </c>
      <c r="H6" s="3">
        <v>0</v>
      </c>
      <c r="I6" s="3">
        <v>0</v>
      </c>
      <c r="J6" s="5"/>
      <c r="K6" s="5"/>
    </row>
    <row r="7" spans="1:29" x14ac:dyDescent="0.25">
      <c r="A7" s="3">
        <v>1</v>
      </c>
      <c r="B7" s="3">
        <v>-1.1000000000000001</v>
      </c>
      <c r="C7" s="3">
        <v>-1.7</v>
      </c>
      <c r="D7" s="3">
        <f>(B7+C7)/2</f>
        <v>-1.4</v>
      </c>
      <c r="E7" s="3">
        <v>-0.9</v>
      </c>
      <c r="F7" s="3">
        <f>-(D7-E7)</f>
        <v>0.49999999999999989</v>
      </c>
      <c r="G7" s="3">
        <v>65</v>
      </c>
      <c r="H7" s="3">
        <v>0</v>
      </c>
      <c r="I7" s="3">
        <v>0</v>
      </c>
      <c r="J7" s="5">
        <f>(F5+F7)/2*(G5+G7)/2*H7</f>
        <v>0</v>
      </c>
      <c r="K7" s="5"/>
      <c r="M7" s="3">
        <f>B7-E7</f>
        <v>-0.20000000000000007</v>
      </c>
      <c r="P7" s="3">
        <f>B7</f>
        <v>-1.1000000000000001</v>
      </c>
      <c r="Q7" s="3">
        <v>4</v>
      </c>
      <c r="R7" s="3">
        <f>-(P7-Q7)</f>
        <v>5.0999999999999996</v>
      </c>
      <c r="S7" s="3">
        <v>10</v>
      </c>
      <c r="X7" s="3">
        <f>B7</f>
        <v>-1.1000000000000001</v>
      </c>
      <c r="Y7" s="3">
        <v>4</v>
      </c>
      <c r="Z7" s="3">
        <f>-(X7-Y7)</f>
        <v>5.0999999999999996</v>
      </c>
      <c r="AA7" s="3">
        <v>5</v>
      </c>
    </row>
    <row r="8" spans="1:29" x14ac:dyDescent="0.25">
      <c r="A8" s="3">
        <v>2</v>
      </c>
      <c r="B8" s="3">
        <v>-1.9</v>
      </c>
      <c r="C8" s="3">
        <v>-2</v>
      </c>
      <c r="D8" s="3">
        <f>(B8+C8)/2</f>
        <v>-1.95</v>
      </c>
      <c r="E8" s="3">
        <v>-1.2</v>
      </c>
      <c r="F8" s="3">
        <f t="shared" ref="F8:F17" si="2">-(D8-E8)</f>
        <v>0.75</v>
      </c>
      <c r="G8" s="3">
        <v>67</v>
      </c>
      <c r="H8" s="3">
        <v>92</v>
      </c>
      <c r="I8" s="3">
        <f>H8+I7</f>
        <v>92</v>
      </c>
      <c r="J8" s="5">
        <f t="shared" ref="J8:J18" si="3">(F7+F8)/2*(G7+G8)/2*H8</f>
        <v>3795</v>
      </c>
      <c r="K8" s="5"/>
      <c r="L8" s="9"/>
      <c r="M8" s="3">
        <f t="shared" ref="M8:M17" si="4">B8-E8</f>
        <v>-0.7</v>
      </c>
      <c r="N8" s="5">
        <f>(M7+M8)/2*(G7+G8)/2*H8</f>
        <v>-2732.4</v>
      </c>
      <c r="P8" s="3">
        <f t="shared" ref="P8:P17" si="5">B8</f>
        <v>-1.9</v>
      </c>
      <c r="Q8" s="3">
        <v>4</v>
      </c>
      <c r="R8" s="3">
        <f t="shared" ref="R8:R17" si="6">-(P8-Q8)</f>
        <v>5.9</v>
      </c>
      <c r="S8" s="3">
        <v>10</v>
      </c>
      <c r="T8" s="3">
        <v>92</v>
      </c>
      <c r="U8" s="5">
        <f>(R7+R8)/2*(S7+S8)/2*T8</f>
        <v>5060</v>
      </c>
      <c r="V8" s="5">
        <f>0.5*(R7+R8)/2*(R7+R8)/2*T8</f>
        <v>1391.5</v>
      </c>
      <c r="X8" s="3">
        <f t="shared" ref="X8:X17" si="7">B8</f>
        <v>-1.9</v>
      </c>
      <c r="Y8" s="3">
        <v>4</v>
      </c>
      <c r="Z8" s="3">
        <f t="shared" ref="Z8:Z17" si="8">-(X8-Y8)</f>
        <v>5.9</v>
      </c>
      <c r="AA8" s="3">
        <v>5</v>
      </c>
      <c r="AB8" s="3">
        <v>92</v>
      </c>
      <c r="AC8" s="5">
        <f>((Z7+Z8)/2*(Z7+Z8)/2+AA8*(Z7+Z8)/2)*AB8</f>
        <v>5313</v>
      </c>
    </row>
    <row r="9" spans="1:29" x14ac:dyDescent="0.25">
      <c r="A9" s="3">
        <v>3</v>
      </c>
      <c r="B9" s="3">
        <v>-4.3</v>
      </c>
      <c r="C9" s="3">
        <v>-3.5</v>
      </c>
      <c r="D9" s="3">
        <f t="shared" ref="D9:D16" si="9">(B9+C9)/2</f>
        <v>-3.9</v>
      </c>
      <c r="E9" s="3">
        <v>-2</v>
      </c>
      <c r="F9" s="3">
        <f t="shared" si="2"/>
        <v>1.9</v>
      </c>
      <c r="G9" s="3">
        <v>68</v>
      </c>
      <c r="H9" s="3">
        <v>100</v>
      </c>
      <c r="I9" s="3">
        <f t="shared" ref="I9:I17" si="10">H9+I8</f>
        <v>192</v>
      </c>
      <c r="J9" s="5">
        <f t="shared" si="3"/>
        <v>8943.75</v>
      </c>
      <c r="K9" s="5"/>
      <c r="L9" s="9"/>
      <c r="M9" s="3">
        <f t="shared" si="4"/>
        <v>-2.2999999999999998</v>
      </c>
      <c r="N9" s="5">
        <f t="shared" ref="N9:N17" si="11">(M8+M9)/2*(G8+G9)/2*H9</f>
        <v>-10125</v>
      </c>
      <c r="P9" s="3">
        <f t="shared" si="5"/>
        <v>-4.3</v>
      </c>
      <c r="Q9" s="3">
        <v>4</v>
      </c>
      <c r="R9" s="3">
        <f t="shared" si="6"/>
        <v>8.3000000000000007</v>
      </c>
      <c r="S9" s="3">
        <v>10</v>
      </c>
      <c r="T9" s="3">
        <v>100</v>
      </c>
      <c r="U9" s="5">
        <f t="shared" ref="U9:U17" si="12">(R8+R9)/2*(S8+S9)/2*T9</f>
        <v>7100</v>
      </c>
      <c r="V9" s="5">
        <f t="shared" ref="V9:V17" si="13">0.5*(R8+R9)/2*(R8+R9)/2*T9</f>
        <v>2520.5000000000005</v>
      </c>
      <c r="X9" s="3">
        <f t="shared" si="7"/>
        <v>-4.3</v>
      </c>
      <c r="Y9" s="3">
        <v>4</v>
      </c>
      <c r="Z9" s="3">
        <f t="shared" si="8"/>
        <v>8.3000000000000007</v>
      </c>
      <c r="AA9" s="3">
        <v>5</v>
      </c>
      <c r="AB9" s="3">
        <v>100</v>
      </c>
      <c r="AC9" s="5">
        <f t="shared" ref="AC9:AC17" si="14">((Z8+Z9)/2*(Z8+Z9)/2+AA9*(Z8+Z9)/2)*AB9</f>
        <v>8591.0000000000018</v>
      </c>
    </row>
    <row r="10" spans="1:29" x14ac:dyDescent="0.25">
      <c r="A10" s="3">
        <v>4</v>
      </c>
      <c r="B10" s="3">
        <v>-6.4</v>
      </c>
      <c r="C10" s="3">
        <v>-5.6</v>
      </c>
      <c r="D10" s="3">
        <f t="shared" si="9"/>
        <v>-6</v>
      </c>
      <c r="E10" s="3">
        <v>-3.6</v>
      </c>
      <c r="F10" s="3">
        <f t="shared" si="2"/>
        <v>2.4</v>
      </c>
      <c r="G10" s="3">
        <v>71</v>
      </c>
      <c r="H10" s="3">
        <v>124</v>
      </c>
      <c r="I10" s="3">
        <f t="shared" si="10"/>
        <v>316</v>
      </c>
      <c r="J10" s="5">
        <f t="shared" si="3"/>
        <v>18528.699999999997</v>
      </c>
      <c r="K10" s="5"/>
      <c r="L10" s="9"/>
      <c r="M10" s="3">
        <f t="shared" si="4"/>
        <v>-2.8000000000000003</v>
      </c>
      <c r="N10" s="5">
        <f t="shared" si="11"/>
        <v>-21975.899999999998</v>
      </c>
      <c r="P10" s="3">
        <f t="shared" si="5"/>
        <v>-6.4</v>
      </c>
      <c r="Q10" s="3">
        <v>4</v>
      </c>
      <c r="R10" s="3">
        <f t="shared" si="6"/>
        <v>10.4</v>
      </c>
      <c r="S10" s="3">
        <v>10</v>
      </c>
      <c r="T10" s="3">
        <v>124</v>
      </c>
      <c r="U10" s="5">
        <f t="shared" si="12"/>
        <v>11594.000000000002</v>
      </c>
      <c r="V10" s="5">
        <f t="shared" si="13"/>
        <v>5420.1950000000015</v>
      </c>
      <c r="X10" s="3">
        <f t="shared" si="7"/>
        <v>-6.4</v>
      </c>
      <c r="Y10" s="3">
        <v>4</v>
      </c>
      <c r="Z10" s="3">
        <f t="shared" si="8"/>
        <v>10.4</v>
      </c>
      <c r="AA10" s="3">
        <v>5</v>
      </c>
      <c r="AB10" s="3">
        <v>124</v>
      </c>
      <c r="AC10" s="5">
        <f t="shared" si="14"/>
        <v>16637.390000000007</v>
      </c>
    </row>
    <row r="11" spans="1:29" x14ac:dyDescent="0.25">
      <c r="A11" s="3">
        <v>5</v>
      </c>
      <c r="B11" s="3">
        <v>-6.4</v>
      </c>
      <c r="C11" s="3">
        <v>-5.6</v>
      </c>
      <c r="D11" s="3">
        <f t="shared" si="9"/>
        <v>-6</v>
      </c>
      <c r="E11" s="3">
        <v>-3.6</v>
      </c>
      <c r="F11" s="3">
        <f t="shared" si="2"/>
        <v>2.4</v>
      </c>
      <c r="G11" s="3">
        <v>73</v>
      </c>
      <c r="H11" s="3">
        <v>90</v>
      </c>
      <c r="I11" s="3">
        <f t="shared" si="10"/>
        <v>406</v>
      </c>
      <c r="J11" s="5">
        <f t="shared" si="3"/>
        <v>15551.999999999998</v>
      </c>
      <c r="K11" s="5"/>
      <c r="L11" s="9"/>
      <c r="M11" s="3">
        <f t="shared" si="4"/>
        <v>-2.8000000000000003</v>
      </c>
      <c r="N11" s="5">
        <f t="shared" si="11"/>
        <v>-18144.000000000004</v>
      </c>
      <c r="P11" s="3">
        <f t="shared" si="5"/>
        <v>-6.4</v>
      </c>
      <c r="Q11" s="3">
        <v>4</v>
      </c>
      <c r="R11" s="3">
        <f t="shared" si="6"/>
        <v>10.4</v>
      </c>
      <c r="S11" s="3">
        <v>10</v>
      </c>
      <c r="T11" s="3">
        <v>90</v>
      </c>
      <c r="U11" s="5">
        <f t="shared" si="12"/>
        <v>9360</v>
      </c>
      <c r="V11" s="5">
        <f t="shared" si="13"/>
        <v>4867.2000000000007</v>
      </c>
      <c r="X11" s="3">
        <f t="shared" si="7"/>
        <v>-6.4</v>
      </c>
      <c r="Y11" s="3">
        <v>4</v>
      </c>
      <c r="Z11" s="3">
        <f t="shared" si="8"/>
        <v>10.4</v>
      </c>
      <c r="AA11" s="3">
        <v>5</v>
      </c>
      <c r="AB11" s="3">
        <v>90</v>
      </c>
      <c r="AC11" s="5">
        <f t="shared" si="14"/>
        <v>14414.400000000001</v>
      </c>
    </row>
    <row r="12" spans="1:29" x14ac:dyDescent="0.25">
      <c r="A12" s="3">
        <v>6</v>
      </c>
      <c r="B12" s="3">
        <v>-6.4</v>
      </c>
      <c r="C12" s="3">
        <v>-5.6</v>
      </c>
      <c r="D12" s="3">
        <f t="shared" si="9"/>
        <v>-6</v>
      </c>
      <c r="E12" s="3">
        <v>-3.6</v>
      </c>
      <c r="F12" s="3">
        <f t="shared" si="2"/>
        <v>2.4</v>
      </c>
      <c r="G12" s="3">
        <v>76</v>
      </c>
      <c r="H12" s="3">
        <v>90</v>
      </c>
      <c r="I12" s="3">
        <f t="shared" si="10"/>
        <v>496</v>
      </c>
      <c r="J12" s="5">
        <f t="shared" si="3"/>
        <v>16091.999999999998</v>
      </c>
      <c r="K12" s="5"/>
      <c r="L12" s="9"/>
      <c r="M12" s="3">
        <f t="shared" si="4"/>
        <v>-2.8000000000000003</v>
      </c>
      <c r="N12" s="5">
        <f t="shared" si="11"/>
        <v>-18774.000000000004</v>
      </c>
      <c r="P12" s="3">
        <f t="shared" si="5"/>
        <v>-6.4</v>
      </c>
      <c r="Q12" s="3">
        <v>4</v>
      </c>
      <c r="R12" s="3">
        <f t="shared" si="6"/>
        <v>10.4</v>
      </c>
      <c r="S12" s="3">
        <v>10</v>
      </c>
      <c r="T12" s="3">
        <v>90</v>
      </c>
      <c r="U12" s="5">
        <f t="shared" si="12"/>
        <v>9360</v>
      </c>
      <c r="V12" s="5">
        <f t="shared" si="13"/>
        <v>4867.2000000000007</v>
      </c>
      <c r="X12" s="3">
        <f t="shared" si="7"/>
        <v>-6.4</v>
      </c>
      <c r="Y12" s="3">
        <v>4</v>
      </c>
      <c r="Z12" s="3">
        <f t="shared" si="8"/>
        <v>10.4</v>
      </c>
      <c r="AA12" s="3">
        <v>5</v>
      </c>
      <c r="AB12" s="3">
        <v>90</v>
      </c>
      <c r="AC12" s="5">
        <f t="shared" si="14"/>
        <v>14414.400000000001</v>
      </c>
    </row>
    <row r="13" spans="1:29" x14ac:dyDescent="0.25">
      <c r="A13" s="3">
        <v>7</v>
      </c>
      <c r="B13" s="3">
        <v>-7.2</v>
      </c>
      <c r="C13" s="3">
        <v>-4.5999999999999996</v>
      </c>
      <c r="D13" s="3">
        <f t="shared" si="9"/>
        <v>-5.9</v>
      </c>
      <c r="E13" s="3">
        <v>-3.8</v>
      </c>
      <c r="F13" s="3">
        <f t="shared" si="2"/>
        <v>2.1000000000000005</v>
      </c>
      <c r="G13" s="3">
        <v>75</v>
      </c>
      <c r="H13" s="3">
        <v>87</v>
      </c>
      <c r="I13" s="3">
        <f t="shared" si="10"/>
        <v>583</v>
      </c>
      <c r="J13" s="5">
        <f t="shared" si="3"/>
        <v>14779.125</v>
      </c>
      <c r="K13" s="5"/>
      <c r="L13" s="9"/>
      <c r="M13" s="3">
        <f t="shared" si="4"/>
        <v>-3.4000000000000004</v>
      </c>
      <c r="N13" s="5">
        <f t="shared" si="11"/>
        <v>-20362.350000000002</v>
      </c>
      <c r="P13" s="3">
        <f t="shared" si="5"/>
        <v>-7.2</v>
      </c>
      <c r="Q13" s="3">
        <v>4</v>
      </c>
      <c r="R13" s="3">
        <f t="shared" si="6"/>
        <v>11.2</v>
      </c>
      <c r="S13" s="3">
        <v>10</v>
      </c>
      <c r="T13" s="3">
        <v>87</v>
      </c>
      <c r="U13" s="5">
        <f t="shared" si="12"/>
        <v>9396</v>
      </c>
      <c r="V13" s="5">
        <f t="shared" si="13"/>
        <v>5073.8400000000011</v>
      </c>
      <c r="X13" s="3">
        <f t="shared" si="7"/>
        <v>-7.2</v>
      </c>
      <c r="Y13" s="3">
        <v>4</v>
      </c>
      <c r="Z13" s="3">
        <f t="shared" si="8"/>
        <v>11.2</v>
      </c>
      <c r="AA13" s="3">
        <v>5</v>
      </c>
      <c r="AB13" s="3">
        <v>87</v>
      </c>
      <c r="AC13" s="5">
        <f t="shared" si="14"/>
        <v>14845.680000000002</v>
      </c>
    </row>
    <row r="14" spans="1:29" x14ac:dyDescent="0.25">
      <c r="A14" s="3">
        <v>8</v>
      </c>
      <c r="B14" s="3">
        <v>-7.2</v>
      </c>
      <c r="C14" s="3">
        <v>-4.5999999999999996</v>
      </c>
      <c r="D14" s="3">
        <f t="shared" si="9"/>
        <v>-5.9</v>
      </c>
      <c r="E14" s="3">
        <v>-3.8</v>
      </c>
      <c r="F14" s="3">
        <f t="shared" si="2"/>
        <v>2.1000000000000005</v>
      </c>
      <c r="G14" s="3">
        <v>76</v>
      </c>
      <c r="H14" s="3">
        <v>136</v>
      </c>
      <c r="I14" s="3">
        <f t="shared" si="10"/>
        <v>719</v>
      </c>
      <c r="J14" s="5">
        <f t="shared" si="3"/>
        <v>21562.800000000007</v>
      </c>
      <c r="K14" s="5"/>
      <c r="L14" s="9"/>
      <c r="M14" s="3">
        <f t="shared" si="4"/>
        <v>-3.4000000000000004</v>
      </c>
      <c r="N14" s="5">
        <f t="shared" si="11"/>
        <v>-34911.200000000004</v>
      </c>
      <c r="P14" s="3">
        <f t="shared" si="5"/>
        <v>-7.2</v>
      </c>
      <c r="Q14" s="3">
        <v>4</v>
      </c>
      <c r="R14" s="3">
        <f t="shared" si="6"/>
        <v>11.2</v>
      </c>
      <c r="S14" s="3">
        <v>10</v>
      </c>
      <c r="T14" s="3">
        <v>136</v>
      </c>
      <c r="U14" s="5">
        <f t="shared" si="12"/>
        <v>15232</v>
      </c>
      <c r="V14" s="5">
        <f t="shared" si="13"/>
        <v>8529.9199999999983</v>
      </c>
      <c r="X14" s="3">
        <f t="shared" si="7"/>
        <v>-7.2</v>
      </c>
      <c r="Y14" s="3">
        <v>4</v>
      </c>
      <c r="Z14" s="3">
        <f t="shared" si="8"/>
        <v>11.2</v>
      </c>
      <c r="AA14" s="3">
        <v>5</v>
      </c>
      <c r="AB14" s="3">
        <v>136</v>
      </c>
      <c r="AC14" s="5">
        <f t="shared" si="14"/>
        <v>24675.84</v>
      </c>
    </row>
    <row r="15" spans="1:29" x14ac:dyDescent="0.25">
      <c r="A15" s="3">
        <v>9</v>
      </c>
      <c r="B15" s="3">
        <v>-7.2</v>
      </c>
      <c r="C15" s="3">
        <v>-4.5999999999999996</v>
      </c>
      <c r="D15" s="3">
        <f t="shared" si="9"/>
        <v>-5.9</v>
      </c>
      <c r="E15" s="3">
        <v>-3.8</v>
      </c>
      <c r="F15" s="3">
        <f t="shared" si="2"/>
        <v>2.1000000000000005</v>
      </c>
      <c r="G15" s="3">
        <v>80</v>
      </c>
      <c r="H15" s="3">
        <v>103</v>
      </c>
      <c r="I15" s="3">
        <f t="shared" si="10"/>
        <v>822</v>
      </c>
      <c r="J15" s="5">
        <f t="shared" si="3"/>
        <v>16871.400000000005</v>
      </c>
      <c r="K15" s="5"/>
      <c r="L15" s="9"/>
      <c r="M15" s="3">
        <f t="shared" si="4"/>
        <v>-3.4000000000000004</v>
      </c>
      <c r="N15" s="5">
        <f t="shared" si="11"/>
        <v>-27315.600000000006</v>
      </c>
      <c r="P15" s="3">
        <f t="shared" si="5"/>
        <v>-7.2</v>
      </c>
      <c r="Q15" s="3">
        <v>4</v>
      </c>
      <c r="R15" s="3">
        <f t="shared" si="6"/>
        <v>11.2</v>
      </c>
      <c r="S15" s="3">
        <v>10</v>
      </c>
      <c r="T15" s="3">
        <v>103</v>
      </c>
      <c r="U15" s="5">
        <f t="shared" si="12"/>
        <v>11536</v>
      </c>
      <c r="V15" s="5">
        <f t="shared" si="13"/>
        <v>6460.1599999999989</v>
      </c>
      <c r="X15" s="3">
        <f t="shared" si="7"/>
        <v>-7.2</v>
      </c>
      <c r="Y15" s="3">
        <v>4</v>
      </c>
      <c r="Z15" s="3">
        <f t="shared" si="8"/>
        <v>11.2</v>
      </c>
      <c r="AA15" s="3">
        <v>5</v>
      </c>
      <c r="AB15" s="3">
        <v>103</v>
      </c>
      <c r="AC15" s="5">
        <f t="shared" si="14"/>
        <v>18688.32</v>
      </c>
    </row>
    <row r="16" spans="1:29" x14ac:dyDescent="0.25">
      <c r="A16" s="3">
        <v>10</v>
      </c>
      <c r="B16" s="3">
        <v>-8.3000000000000007</v>
      </c>
      <c r="C16" s="3">
        <v>-7.4</v>
      </c>
      <c r="D16" s="3">
        <f t="shared" si="9"/>
        <v>-7.8500000000000005</v>
      </c>
      <c r="E16" s="3">
        <v>-6.2</v>
      </c>
      <c r="F16" s="3">
        <f t="shared" si="2"/>
        <v>1.6500000000000004</v>
      </c>
      <c r="G16" s="3">
        <v>81</v>
      </c>
      <c r="H16" s="3">
        <v>84</v>
      </c>
      <c r="I16" s="3">
        <f t="shared" si="10"/>
        <v>906</v>
      </c>
      <c r="J16" s="5">
        <f t="shared" si="3"/>
        <v>12678.750000000002</v>
      </c>
      <c r="K16" s="5"/>
      <c r="L16" s="9"/>
      <c r="M16" s="3">
        <f t="shared" si="4"/>
        <v>-2.1000000000000005</v>
      </c>
      <c r="N16" s="5">
        <f t="shared" si="11"/>
        <v>-18595.500000000004</v>
      </c>
      <c r="P16" s="3">
        <f t="shared" si="5"/>
        <v>-8.3000000000000007</v>
      </c>
      <c r="Q16" s="3">
        <v>4</v>
      </c>
      <c r="R16" s="3">
        <f t="shared" si="6"/>
        <v>12.3</v>
      </c>
      <c r="S16" s="3">
        <v>10</v>
      </c>
      <c r="T16" s="3">
        <v>84</v>
      </c>
      <c r="U16" s="5">
        <f t="shared" si="12"/>
        <v>9870</v>
      </c>
      <c r="V16" s="5">
        <f t="shared" si="13"/>
        <v>5798.625</v>
      </c>
      <c r="X16" s="3">
        <f t="shared" si="7"/>
        <v>-8.3000000000000007</v>
      </c>
      <c r="Y16" s="3">
        <v>4</v>
      </c>
      <c r="Z16" s="3">
        <f t="shared" si="8"/>
        <v>12.3</v>
      </c>
      <c r="AA16" s="3">
        <v>5</v>
      </c>
      <c r="AB16" s="3">
        <v>84</v>
      </c>
      <c r="AC16" s="5">
        <f t="shared" si="14"/>
        <v>16532.25</v>
      </c>
    </row>
    <row r="17" spans="1:29" x14ac:dyDescent="0.25">
      <c r="A17" s="3">
        <v>11</v>
      </c>
      <c r="B17" s="3">
        <v>-8.3000000000000007</v>
      </c>
      <c r="C17" s="3">
        <v>-7.4</v>
      </c>
      <c r="D17" s="3">
        <f t="shared" ref="D17:D18" si="15">(B17+C17)/2</f>
        <v>-7.8500000000000005</v>
      </c>
      <c r="E17" s="3">
        <v>-6.2</v>
      </c>
      <c r="F17" s="3">
        <f t="shared" si="2"/>
        <v>1.6500000000000004</v>
      </c>
      <c r="G17" s="3">
        <v>26</v>
      </c>
      <c r="H17" s="3">
        <v>30</v>
      </c>
      <c r="I17" s="3">
        <f t="shared" si="10"/>
        <v>936</v>
      </c>
      <c r="J17" s="5">
        <f t="shared" si="3"/>
        <v>2648.2500000000005</v>
      </c>
      <c r="K17" s="5"/>
      <c r="L17" s="9"/>
      <c r="M17" s="3">
        <f t="shared" si="4"/>
        <v>-2.1000000000000005</v>
      </c>
      <c r="N17" s="5">
        <f t="shared" si="11"/>
        <v>-3370.5000000000009</v>
      </c>
      <c r="P17" s="3">
        <f t="shared" si="5"/>
        <v>-8.3000000000000007</v>
      </c>
      <c r="Q17" s="3">
        <v>4</v>
      </c>
      <c r="R17" s="3">
        <f t="shared" si="6"/>
        <v>12.3</v>
      </c>
      <c r="S17" s="3">
        <v>10</v>
      </c>
      <c r="T17" s="3">
        <v>30</v>
      </c>
      <c r="U17" s="5">
        <f t="shared" si="12"/>
        <v>3690</v>
      </c>
      <c r="V17" s="5">
        <f t="shared" si="13"/>
        <v>2269.3500000000004</v>
      </c>
      <c r="X17" s="3">
        <f t="shared" si="7"/>
        <v>-8.3000000000000007</v>
      </c>
      <c r="Y17" s="3">
        <v>4</v>
      </c>
      <c r="Z17" s="3">
        <f t="shared" si="8"/>
        <v>12.3</v>
      </c>
      <c r="AA17" s="3">
        <v>5</v>
      </c>
      <c r="AB17" s="3">
        <v>30</v>
      </c>
      <c r="AC17" s="5">
        <f t="shared" si="14"/>
        <v>6383.7000000000007</v>
      </c>
    </row>
    <row r="18" spans="1:29" x14ac:dyDescent="0.25">
      <c r="A18" s="3">
        <v>12</v>
      </c>
      <c r="B18" s="3">
        <v>-8.3000000000000007</v>
      </c>
      <c r="C18" s="3">
        <v>-7.4</v>
      </c>
      <c r="D18" s="3">
        <f t="shared" si="15"/>
        <v>-7.8500000000000005</v>
      </c>
      <c r="E18" s="3">
        <f>D17</f>
        <v>-7.8500000000000005</v>
      </c>
      <c r="F18" s="3">
        <f t="shared" ref="F18" si="16">D18-E18</f>
        <v>0</v>
      </c>
      <c r="G18" s="3">
        <v>0</v>
      </c>
      <c r="H18" s="3">
        <v>0</v>
      </c>
      <c r="I18" s="3">
        <v>936</v>
      </c>
      <c r="J18" s="5">
        <f t="shared" si="3"/>
        <v>0</v>
      </c>
      <c r="K18" s="5"/>
      <c r="L18" s="9"/>
      <c r="N18" s="5"/>
      <c r="U18" s="5"/>
      <c r="AC18" s="5"/>
    </row>
    <row r="19" spans="1:29" x14ac:dyDescent="0.25">
      <c r="H19" s="2" t="s">
        <v>7</v>
      </c>
      <c r="I19" s="2"/>
      <c r="J19" s="6">
        <f>SUM(J8:J17)</f>
        <v>131451.77500000002</v>
      </c>
      <c r="K19" s="6"/>
      <c r="L19" s="10"/>
      <c r="M19" s="6"/>
      <c r="N19" s="6">
        <f>SUM(N8:N17)</f>
        <v>-176306.45</v>
      </c>
      <c r="T19" s="2" t="s">
        <v>7</v>
      </c>
      <c r="U19" s="6">
        <f>SUM(U8:U17)</f>
        <v>92198</v>
      </c>
      <c r="V19" s="6">
        <f>SUM(V8:V17)</f>
        <v>47198.49</v>
      </c>
      <c r="AB19" s="42" t="s">
        <v>7</v>
      </c>
      <c r="AC19" s="41">
        <f>SUM(AC8:AC17)</f>
        <v>140495.98000000001</v>
      </c>
    </row>
    <row r="20" spans="1:29" x14ac:dyDescent="0.25">
      <c r="U20" s="45">
        <f>U19+V19</f>
        <v>139396.49</v>
      </c>
      <c r="V20" s="46"/>
      <c r="AC20"/>
    </row>
    <row r="37" spans="1:5" x14ac:dyDescent="0.25">
      <c r="A37" s="3" t="s">
        <v>117</v>
      </c>
      <c r="B37" s="48">
        <v>200000</v>
      </c>
      <c r="C37" s="3" t="s">
        <v>118</v>
      </c>
      <c r="D37" s="3">
        <f>B37*0.7646</f>
        <v>152920</v>
      </c>
      <c r="E37" s="49" t="s">
        <v>119</v>
      </c>
    </row>
  </sheetData>
  <mergeCells count="2">
    <mergeCell ref="U20:V20"/>
    <mergeCell ref="M3:N3"/>
  </mergeCells>
  <pageMargins left="0.7" right="0.7" top="0.75" bottom="0.75" header="0.3" footer="0.3"/>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4"/>
  <sheetViews>
    <sheetView topLeftCell="A55" workbookViewId="0">
      <selection activeCell="C48" sqref="C48"/>
    </sheetView>
  </sheetViews>
  <sheetFormatPr baseColWidth="10" defaultRowHeight="15" x14ac:dyDescent="0.25"/>
  <cols>
    <col min="13" max="13" width="11.42578125" style="3"/>
  </cols>
  <sheetData>
    <row r="1" spans="1:1" x14ac:dyDescent="0.25">
      <c r="A1" t="s">
        <v>15</v>
      </c>
    </row>
    <row r="2" spans="1:1" x14ac:dyDescent="0.25">
      <c r="A2" t="s">
        <v>16</v>
      </c>
    </row>
    <row r="3" spans="1:1" x14ac:dyDescent="0.25">
      <c r="A3" t="s">
        <v>120</v>
      </c>
    </row>
    <row r="4" spans="1:1" x14ac:dyDescent="0.25">
      <c r="A4" t="s">
        <v>17</v>
      </c>
    </row>
    <row r="5" spans="1:1" x14ac:dyDescent="0.25">
      <c r="A5" t="s">
        <v>14</v>
      </c>
    </row>
    <row r="22" spans="1:10" x14ac:dyDescent="0.25">
      <c r="A22" t="s">
        <v>18</v>
      </c>
    </row>
    <row r="23" spans="1:10" x14ac:dyDescent="0.25">
      <c r="A23" t="s">
        <v>19</v>
      </c>
    </row>
    <row r="24" spans="1:10" x14ac:dyDescent="0.25">
      <c r="A24" t="s">
        <v>62</v>
      </c>
    </row>
    <row r="25" spans="1:10" x14ac:dyDescent="0.25">
      <c r="A25" t="s">
        <v>50</v>
      </c>
    </row>
    <row r="26" spans="1:10" x14ac:dyDescent="0.25">
      <c r="A26" t="s">
        <v>20</v>
      </c>
    </row>
    <row r="27" spans="1:10" x14ac:dyDescent="0.25">
      <c r="A27" t="s">
        <v>64</v>
      </c>
    </row>
    <row r="28" spans="1:10" x14ac:dyDescent="0.25">
      <c r="A28" t="s">
        <v>63</v>
      </c>
    </row>
    <row r="29" spans="1:10" x14ac:dyDescent="0.25">
      <c r="H29" s="29" t="s">
        <v>68</v>
      </c>
      <c r="I29" s="19"/>
      <c r="J29" s="20"/>
    </row>
    <row r="30" spans="1:10" x14ac:dyDescent="0.25">
      <c r="A30" s="17" t="s">
        <v>21</v>
      </c>
      <c r="B30" s="18">
        <v>10</v>
      </c>
      <c r="C30" t="s">
        <v>58</v>
      </c>
      <c r="H30" s="21" t="s">
        <v>53</v>
      </c>
      <c r="I30" s="22">
        <f>1.56*$B$30*$B$30</f>
        <v>156</v>
      </c>
      <c r="J30" s="23"/>
    </row>
    <row r="31" spans="1:10" x14ac:dyDescent="0.25">
      <c r="A31" s="17" t="s">
        <v>22</v>
      </c>
      <c r="B31" s="18">
        <v>6</v>
      </c>
      <c r="C31" t="s">
        <v>41</v>
      </c>
      <c r="H31" s="21" t="s">
        <v>27</v>
      </c>
      <c r="I31" s="24">
        <v>74</v>
      </c>
      <c r="J31" s="23"/>
    </row>
    <row r="32" spans="1:10" x14ac:dyDescent="0.25">
      <c r="A32" s="17" t="s">
        <v>23</v>
      </c>
      <c r="B32" s="18">
        <v>6</v>
      </c>
      <c r="C32" t="s">
        <v>42</v>
      </c>
      <c r="H32" s="21" t="s">
        <v>54</v>
      </c>
      <c r="I32" s="25">
        <f>POWER(2*PI()/B30,2)</f>
        <v>0.3947841760435743</v>
      </c>
      <c r="J32" s="23" t="s">
        <v>56</v>
      </c>
    </row>
    <row r="33" spans="1:10" x14ac:dyDescent="0.25">
      <c r="A33" s="17" t="s">
        <v>24</v>
      </c>
      <c r="B33" s="18">
        <v>6</v>
      </c>
      <c r="C33" t="s">
        <v>43</v>
      </c>
      <c r="H33" s="26" t="s">
        <v>55</v>
      </c>
      <c r="I33" s="27">
        <f>9.81*2*PI()/I31*TANH(2*PI()*B32/I31)</f>
        <v>0.3910805635845464</v>
      </c>
      <c r="J33" s="28" t="s">
        <v>57</v>
      </c>
    </row>
    <row r="34" spans="1:10" x14ac:dyDescent="0.25">
      <c r="A34" s="17" t="s">
        <v>39</v>
      </c>
      <c r="B34" s="18">
        <v>4</v>
      </c>
      <c r="C34" t="s">
        <v>40</v>
      </c>
    </row>
    <row r="35" spans="1:10" x14ac:dyDescent="0.25">
      <c r="A35" s="17" t="s">
        <v>25</v>
      </c>
      <c r="B35" s="18">
        <v>4</v>
      </c>
      <c r="C35" t="s">
        <v>26</v>
      </c>
    </row>
    <row r="36" spans="1:10" x14ac:dyDescent="0.25">
      <c r="A36" s="17" t="s">
        <v>27</v>
      </c>
      <c r="B36" s="18">
        <v>74</v>
      </c>
      <c r="C36" t="s">
        <v>65</v>
      </c>
    </row>
    <row r="37" spans="1:10" x14ac:dyDescent="0.25">
      <c r="A37" s="17" t="s">
        <v>36</v>
      </c>
      <c r="B37" s="18">
        <v>1</v>
      </c>
      <c r="C37" t="s">
        <v>66</v>
      </c>
    </row>
    <row r="38" spans="1:10" x14ac:dyDescent="0.25">
      <c r="B38" s="3"/>
    </row>
    <row r="39" spans="1:10" x14ac:dyDescent="0.25">
      <c r="A39" t="s">
        <v>28</v>
      </c>
      <c r="B39" s="3">
        <f>1.5*B35</f>
        <v>6</v>
      </c>
      <c r="C39" s="13" t="s">
        <v>29</v>
      </c>
    </row>
    <row r="40" spans="1:10" x14ac:dyDescent="0.25">
      <c r="A40" t="s">
        <v>30</v>
      </c>
      <c r="B40" s="14">
        <f>0.6+0.5*POWER(4*PI()*$B$31/$B$36/SINH(4*PI()*$B$31/$B$36),2)</f>
        <v>0.95773823522399804</v>
      </c>
      <c r="C40" s="13" t="s">
        <v>44</v>
      </c>
    </row>
    <row r="41" spans="1:10" x14ac:dyDescent="0.25">
      <c r="A41" t="s">
        <v>31</v>
      </c>
      <c r="B41" s="14">
        <f>2*$B$31/$B$35</f>
        <v>3</v>
      </c>
      <c r="C41" s="13" t="s">
        <v>33</v>
      </c>
    </row>
    <row r="42" spans="1:10" x14ac:dyDescent="0.25">
      <c r="A42" t="s">
        <v>32</v>
      </c>
      <c r="B42" s="14">
        <f>1-(1-1/COSH(2*PI()*$B$31/$B$36))*$B$33/$B$31</f>
        <v>0.88292472273307077</v>
      </c>
      <c r="C42" s="13" t="s">
        <v>34</v>
      </c>
    </row>
    <row r="43" spans="1:10" x14ac:dyDescent="0.25">
      <c r="B43" s="3"/>
    </row>
    <row r="44" spans="1:10" x14ac:dyDescent="0.25">
      <c r="A44" s="1" t="s">
        <v>35</v>
      </c>
      <c r="B44" s="16">
        <f>(B40+B41)*B37*B35</f>
        <v>15.830952940895992</v>
      </c>
      <c r="C44" s="13" t="s">
        <v>45</v>
      </c>
    </row>
    <row r="45" spans="1:10" x14ac:dyDescent="0.25">
      <c r="A45" t="s">
        <v>37</v>
      </c>
      <c r="B45" s="15">
        <f>B42*B44</f>
        <v>13.977539735940885</v>
      </c>
      <c r="C45" s="13" t="s">
        <v>46</v>
      </c>
    </row>
    <row r="46" spans="1:10" x14ac:dyDescent="0.25">
      <c r="A46" t="s">
        <v>38</v>
      </c>
      <c r="B46" s="15">
        <f>(1-$B$34/$B$39)*B44</f>
        <v>5.2769843136319983</v>
      </c>
      <c r="C46" s="13" t="s">
        <v>47</v>
      </c>
    </row>
    <row r="47" spans="1:10" x14ac:dyDescent="0.25">
      <c r="B47" s="3"/>
    </row>
    <row r="48" spans="1:10" x14ac:dyDescent="0.25">
      <c r="A48" t="s">
        <v>49</v>
      </c>
      <c r="B48" s="5">
        <f>(B44+B45)/2*$B$33+(B44+B46)/2*$B$34</f>
        <v>131.64135253956661</v>
      </c>
      <c r="C48" t="s">
        <v>48</v>
      </c>
    </row>
    <row r="51" spans="1:12" x14ac:dyDescent="0.25">
      <c r="A51" t="s">
        <v>129</v>
      </c>
    </row>
    <row r="52" spans="1:12" x14ac:dyDescent="0.25">
      <c r="A52" t="s">
        <v>130</v>
      </c>
    </row>
    <row r="53" spans="1:12" x14ac:dyDescent="0.25">
      <c r="A53" t="s">
        <v>131</v>
      </c>
    </row>
    <row r="55" spans="1:12" x14ac:dyDescent="0.25">
      <c r="A55" t="s">
        <v>51</v>
      </c>
    </row>
    <row r="56" spans="1:12" x14ac:dyDescent="0.25">
      <c r="A56" t="s">
        <v>52</v>
      </c>
    </row>
    <row r="57" spans="1:12" x14ac:dyDescent="0.25">
      <c r="A57" t="s">
        <v>59</v>
      </c>
    </row>
    <row r="58" spans="1:12" x14ac:dyDescent="0.25">
      <c r="A58" t="s">
        <v>60</v>
      </c>
    </row>
    <row r="60" spans="1:12" x14ac:dyDescent="0.25">
      <c r="A60" t="s">
        <v>61</v>
      </c>
    </row>
    <row r="64" spans="1:12" x14ac:dyDescent="0.25">
      <c r="A64" s="34" t="s">
        <v>88</v>
      </c>
      <c r="B64" s="19"/>
      <c r="C64" s="19"/>
      <c r="D64" s="19"/>
      <c r="E64" s="19"/>
      <c r="F64" s="19"/>
      <c r="G64" s="19"/>
      <c r="H64" s="19"/>
      <c r="I64" s="19"/>
      <c r="J64" s="19"/>
      <c r="K64" s="19"/>
      <c r="L64" s="20"/>
    </row>
    <row r="65" spans="1:13" s="1" customFormat="1" x14ac:dyDescent="0.25">
      <c r="A65" s="35" t="s">
        <v>80</v>
      </c>
      <c r="B65" s="36"/>
      <c r="C65" s="36"/>
      <c r="D65" s="36"/>
      <c r="E65" s="36"/>
      <c r="F65" s="36"/>
      <c r="G65" s="36"/>
      <c r="H65" s="36"/>
      <c r="I65" s="36"/>
      <c r="J65" s="36"/>
      <c r="K65" s="36"/>
      <c r="L65" s="37"/>
      <c r="M65" s="30"/>
    </row>
    <row r="66" spans="1:13" x14ac:dyDescent="0.25">
      <c r="A66" s="21" t="s">
        <v>89</v>
      </c>
      <c r="B66" s="38"/>
      <c r="C66" s="38"/>
      <c r="D66" s="38"/>
      <c r="E66" s="38"/>
      <c r="F66" s="38"/>
      <c r="G66" s="38"/>
      <c r="H66" s="38"/>
      <c r="I66" s="38"/>
      <c r="J66" s="38"/>
      <c r="K66" s="38"/>
      <c r="L66" s="23"/>
    </row>
    <row r="67" spans="1:13" x14ac:dyDescent="0.25">
      <c r="A67" s="21" t="s">
        <v>81</v>
      </c>
      <c r="B67" s="38"/>
      <c r="C67" s="38"/>
      <c r="D67" s="38"/>
      <c r="E67" s="38"/>
      <c r="F67" s="38"/>
      <c r="G67" s="38"/>
      <c r="H67" s="38"/>
      <c r="I67" s="38"/>
      <c r="J67" s="38"/>
      <c r="K67" s="38"/>
      <c r="L67" s="23"/>
    </row>
    <row r="68" spans="1:13" x14ac:dyDescent="0.25">
      <c r="A68" s="21" t="s">
        <v>82</v>
      </c>
      <c r="B68" s="38"/>
      <c r="C68" s="38"/>
      <c r="D68" s="38"/>
      <c r="E68" s="38"/>
      <c r="F68" s="38"/>
      <c r="G68" s="38"/>
      <c r="H68" s="38"/>
      <c r="I68" s="38"/>
      <c r="J68" s="38"/>
      <c r="K68" s="38"/>
      <c r="L68" s="23"/>
    </row>
    <row r="69" spans="1:13" x14ac:dyDescent="0.25">
      <c r="A69" s="21" t="s">
        <v>83</v>
      </c>
      <c r="B69" s="38"/>
      <c r="C69" s="38"/>
      <c r="D69" s="38"/>
      <c r="E69" s="38"/>
      <c r="F69" s="38"/>
      <c r="G69" s="38"/>
      <c r="H69" s="38"/>
      <c r="I69" s="38"/>
      <c r="J69" s="38"/>
      <c r="K69" s="38"/>
      <c r="L69" s="23"/>
    </row>
    <row r="70" spans="1:13" x14ac:dyDescent="0.25">
      <c r="A70" s="35" t="s">
        <v>95</v>
      </c>
      <c r="B70" s="38"/>
      <c r="C70" s="38"/>
      <c r="D70" s="38"/>
      <c r="E70" s="38"/>
      <c r="F70" s="38"/>
      <c r="G70" s="38"/>
      <c r="H70" s="38"/>
      <c r="I70" s="38"/>
      <c r="J70" s="38"/>
      <c r="K70" s="38"/>
      <c r="L70" s="23"/>
    </row>
    <row r="71" spans="1:13" x14ac:dyDescent="0.25">
      <c r="A71" s="35" t="s">
        <v>84</v>
      </c>
      <c r="B71" s="38"/>
      <c r="C71" s="38"/>
      <c r="D71" s="38"/>
      <c r="E71" s="38"/>
      <c r="F71" s="38"/>
      <c r="G71" s="38"/>
      <c r="H71" s="38"/>
      <c r="I71" s="38"/>
      <c r="J71" s="38"/>
      <c r="K71" s="38"/>
      <c r="L71" s="23"/>
    </row>
    <row r="72" spans="1:13" x14ac:dyDescent="0.25">
      <c r="A72" s="21" t="s">
        <v>85</v>
      </c>
      <c r="B72" s="38"/>
      <c r="C72" s="38"/>
      <c r="D72" s="38"/>
      <c r="E72" s="38"/>
      <c r="F72" s="38"/>
      <c r="G72" s="38"/>
      <c r="H72" s="38"/>
      <c r="I72" s="38"/>
      <c r="J72" s="38"/>
      <c r="K72" s="38"/>
      <c r="L72" s="23"/>
    </row>
    <row r="73" spans="1:13" x14ac:dyDescent="0.25">
      <c r="A73" s="21"/>
      <c r="B73" s="38"/>
      <c r="C73" s="38"/>
      <c r="D73" s="38"/>
      <c r="E73" s="38"/>
      <c r="F73" s="38"/>
      <c r="G73" s="38"/>
      <c r="H73" s="38"/>
      <c r="I73" s="38"/>
      <c r="J73" s="38"/>
      <c r="K73" s="38"/>
      <c r="L73" s="23"/>
    </row>
    <row r="74" spans="1:13" x14ac:dyDescent="0.25">
      <c r="A74" s="21" t="s">
        <v>94</v>
      </c>
      <c r="B74" s="38"/>
      <c r="C74" s="38"/>
      <c r="D74" s="38"/>
      <c r="E74" s="38"/>
      <c r="F74" s="38"/>
      <c r="G74" s="38"/>
      <c r="H74" s="38"/>
      <c r="I74" s="38"/>
      <c r="J74" s="38"/>
      <c r="K74" s="38"/>
      <c r="L74" s="23"/>
    </row>
    <row r="75" spans="1:13" x14ac:dyDescent="0.25">
      <c r="A75" s="21" t="s">
        <v>86</v>
      </c>
      <c r="B75" s="38"/>
      <c r="C75" s="38"/>
      <c r="D75" s="38"/>
      <c r="E75" s="38"/>
      <c r="F75" s="38"/>
      <c r="G75" s="38"/>
      <c r="H75" s="38"/>
      <c r="I75" s="38"/>
      <c r="J75" s="38"/>
      <c r="K75" s="38"/>
      <c r="L75" s="23"/>
    </row>
    <row r="76" spans="1:13" x14ac:dyDescent="0.25">
      <c r="A76" s="21"/>
      <c r="B76" s="38" t="s">
        <v>87</v>
      </c>
      <c r="C76" s="38"/>
      <c r="D76" s="38"/>
      <c r="E76" s="38"/>
      <c r="F76" s="38"/>
      <c r="G76" s="38"/>
      <c r="H76" s="38"/>
      <c r="I76" s="38"/>
      <c r="J76" s="38"/>
      <c r="K76" s="38"/>
      <c r="L76" s="23"/>
    </row>
    <row r="77" spans="1:13" x14ac:dyDescent="0.25">
      <c r="A77" s="21"/>
      <c r="B77" s="38" t="s">
        <v>90</v>
      </c>
      <c r="C77" s="38"/>
      <c r="D77" s="38"/>
      <c r="E77" s="38"/>
      <c r="F77" s="38"/>
      <c r="G77" s="38"/>
      <c r="H77" s="38"/>
      <c r="I77" s="38"/>
      <c r="J77" s="38"/>
      <c r="K77" s="38"/>
      <c r="L77" s="23"/>
    </row>
    <row r="78" spans="1:13" x14ac:dyDescent="0.25">
      <c r="A78" s="21"/>
      <c r="B78" s="38" t="s">
        <v>91</v>
      </c>
      <c r="C78" s="38"/>
      <c r="D78" s="38"/>
      <c r="E78" s="38"/>
      <c r="F78" s="38"/>
      <c r="G78" s="38"/>
      <c r="H78" s="38"/>
      <c r="I78" s="38"/>
      <c r="J78" s="38"/>
      <c r="K78" s="38"/>
      <c r="L78" s="23"/>
    </row>
    <row r="79" spans="1:13" x14ac:dyDescent="0.25">
      <c r="A79" s="21"/>
      <c r="B79" s="38" t="s">
        <v>92</v>
      </c>
      <c r="C79" s="38"/>
      <c r="D79" s="38"/>
      <c r="E79" s="38"/>
      <c r="F79" s="38"/>
      <c r="G79" s="38"/>
      <c r="H79" s="38"/>
      <c r="I79" s="38"/>
      <c r="J79" s="38"/>
      <c r="K79" s="38"/>
      <c r="L79" s="23"/>
    </row>
    <row r="80" spans="1:13" x14ac:dyDescent="0.25">
      <c r="A80" s="26"/>
      <c r="B80" s="39" t="s">
        <v>93</v>
      </c>
      <c r="C80" s="39"/>
      <c r="D80" s="39"/>
      <c r="E80" s="39"/>
      <c r="F80" s="39"/>
      <c r="G80" s="39"/>
      <c r="H80" s="39"/>
      <c r="I80" s="39"/>
      <c r="J80" s="39"/>
      <c r="K80" s="39"/>
      <c r="L80" s="28"/>
    </row>
    <row r="82" spans="1:1" x14ac:dyDescent="0.25">
      <c r="A82" t="s">
        <v>97</v>
      </c>
    </row>
    <row r="83" spans="1:1" x14ac:dyDescent="0.25">
      <c r="A83" t="s">
        <v>96</v>
      </c>
    </row>
    <row r="84" spans="1:1" x14ac:dyDescent="0.25">
      <c r="A84" t="s">
        <v>98</v>
      </c>
    </row>
  </sheetData>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Recap</vt:lpstr>
      <vt:lpstr>Volume</vt:lpstr>
      <vt:lpstr>Goda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ADGMCE</dc:creator>
  <cp:lastModifiedBy>AdG</cp:lastModifiedBy>
  <cp:lastPrinted>2013-09-18T14:02:32Z</cp:lastPrinted>
  <dcterms:created xsi:type="dcterms:W3CDTF">2013-09-14T20:26:22Z</dcterms:created>
  <dcterms:modified xsi:type="dcterms:W3CDTF">2018-01-31T23:09:16Z</dcterms:modified>
</cp:coreProperties>
</file>