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9.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0.xml" ContentType="application/vnd.openxmlformats-officedocument.drawingml.chartshapes+xml"/>
  <Override PartName="/xl/charts/chart28.xml" ContentType="application/vnd.openxmlformats-officedocument.drawingml.chart+xml"/>
  <Override PartName="/xl/drawings/drawing11.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5315" windowHeight="9015" tabRatio="638"/>
  </bookViews>
  <sheets>
    <sheet name="Recap" sheetId="2" r:id="rId1"/>
    <sheet name="Vidal" sheetId="1" r:id="rId2"/>
    <sheet name="Foster" sheetId="4" r:id="rId3"/>
    <sheet name="Ahrens" sheetId="3" r:id="rId4"/>
    <sheet name="Burcharth" sheetId="5" r:id="rId5"/>
    <sheet name="Thapsus" sheetId="6" r:id="rId6"/>
    <sheet name="Ota" sheetId="8" r:id="rId7"/>
    <sheet name="RasLaffan" sheetId="14" r:id="rId8"/>
    <sheet name="Near-bed" sheetId="13" r:id="rId9"/>
    <sheet name="Allsop" sheetId="11" r:id="rId10"/>
    <sheet name="Goda" sheetId="12" r:id="rId11"/>
    <sheet name="AdG" sheetId="7" r:id="rId12"/>
    <sheet name="Model tests" sheetId="10" r:id="rId13"/>
    <sheet name="Formes" sheetId="9" r:id="rId14"/>
  </sheets>
  <calcPr calcId="144525"/>
</workbook>
</file>

<file path=xl/calcChain.xml><?xml version="1.0" encoding="utf-8"?>
<calcChain xmlns="http://schemas.openxmlformats.org/spreadsheetml/2006/main">
  <c r="L72" i="10" l="1"/>
  <c r="M72" i="10"/>
  <c r="I70" i="10"/>
  <c r="J70" i="10" s="1"/>
  <c r="E68" i="10"/>
  <c r="F68" i="10" s="1"/>
  <c r="L73" i="10"/>
  <c r="M73" i="10"/>
  <c r="L74" i="10"/>
  <c r="M74" i="10" s="1"/>
  <c r="L75" i="10"/>
  <c r="M75" i="10"/>
  <c r="L76" i="10"/>
  <c r="M76" i="10" s="1"/>
  <c r="I71" i="10"/>
  <c r="J71" i="10"/>
  <c r="I72" i="10"/>
  <c r="J72" i="10" s="1"/>
  <c r="I73" i="10"/>
  <c r="J73" i="10"/>
  <c r="E69" i="10"/>
  <c r="F69" i="10"/>
  <c r="E70" i="10"/>
  <c r="F70" i="10" s="1"/>
  <c r="B68" i="10"/>
  <c r="C68" i="10" s="1"/>
  <c r="L87" i="10" l="1"/>
  <c r="L86" i="10"/>
  <c r="L85" i="10"/>
  <c r="L84" i="10"/>
  <c r="L83" i="10"/>
  <c r="L82" i="10"/>
  <c r="L81" i="10"/>
  <c r="L80" i="10"/>
  <c r="L79" i="10"/>
  <c r="L78" i="10"/>
  <c r="L77" i="10"/>
  <c r="I75" i="10"/>
  <c r="I76" i="10"/>
  <c r="I77" i="10"/>
  <c r="I78" i="10"/>
  <c r="I79" i="10"/>
  <c r="I80" i="10"/>
  <c r="I81" i="10"/>
  <c r="I82" i="10"/>
  <c r="I83" i="10"/>
  <c r="I84" i="10"/>
  <c r="I85" i="10"/>
  <c r="I86" i="10"/>
  <c r="I87" i="10"/>
  <c r="I74" i="10"/>
  <c r="E72" i="10"/>
  <c r="E73" i="10"/>
  <c r="E74" i="10"/>
  <c r="E75" i="10"/>
  <c r="E76" i="10"/>
  <c r="E77" i="10"/>
  <c r="E78" i="10"/>
  <c r="E79" i="10"/>
  <c r="E71" i="10"/>
  <c r="B70" i="10"/>
  <c r="B71" i="10"/>
  <c r="B72" i="10"/>
  <c r="B73" i="10"/>
  <c r="B69" i="10"/>
  <c r="J21" i="10"/>
  <c r="K21" i="10"/>
  <c r="L21" i="10"/>
  <c r="M21" i="10"/>
  <c r="N21" i="10"/>
  <c r="O21" i="10"/>
  <c r="P21" i="10"/>
  <c r="Q21" i="10"/>
  <c r="R21" i="10" l="1"/>
  <c r="S21" i="10" s="1"/>
  <c r="T21" i="10" s="1"/>
  <c r="U21" i="10" s="1"/>
  <c r="H49" i="2"/>
  <c r="H50" i="2"/>
  <c r="H51" i="2"/>
  <c r="H52" i="2"/>
  <c r="H48" i="2"/>
  <c r="G52" i="2" l="1"/>
  <c r="G51" i="2"/>
  <c r="G50" i="2"/>
  <c r="G49" i="2"/>
  <c r="G48" i="2"/>
  <c r="L20" i="10" l="1"/>
  <c r="N20" i="10"/>
  <c r="K20" i="10"/>
  <c r="J20" i="10"/>
  <c r="M20" i="10"/>
  <c r="Q20" i="10"/>
  <c r="O20" i="10"/>
  <c r="P20" i="10"/>
  <c r="R20" i="10" l="1"/>
  <c r="S20" i="10" s="1"/>
  <c r="T20" i="10" s="1"/>
  <c r="U20" i="10" s="1"/>
  <c r="L109" i="10"/>
  <c r="L108" i="10"/>
  <c r="L101" i="10"/>
  <c r="L102" i="10" s="1"/>
  <c r="L107" i="10" s="1"/>
  <c r="AI165" i="7"/>
  <c r="AI166" i="7"/>
  <c r="AI167" i="7"/>
  <c r="AI168" i="7"/>
  <c r="AI169" i="7"/>
  <c r="AI170" i="7"/>
  <c r="AF174" i="7"/>
  <c r="AF175" i="7"/>
  <c r="AF172" i="7" s="1"/>
  <c r="AF177" i="7"/>
  <c r="AF178" i="7"/>
  <c r="AF184" i="7"/>
  <c r="AF185" i="7"/>
  <c r="C8" i="11"/>
  <c r="D8" i="11"/>
  <c r="E8" i="11"/>
  <c r="C9" i="11"/>
  <c r="D9" i="11"/>
  <c r="E9" i="11"/>
  <c r="C10" i="11"/>
  <c r="D10" i="11"/>
  <c r="E10" i="11"/>
  <c r="C11" i="11"/>
  <c r="D11" i="11"/>
  <c r="E11" i="11"/>
  <c r="C12" i="11"/>
  <c r="D12" i="11"/>
  <c r="E12" i="11"/>
  <c r="C13" i="11"/>
  <c r="D13" i="11"/>
  <c r="E13" i="11"/>
  <c r="C14" i="11"/>
  <c r="D14" i="11"/>
  <c r="E14" i="11"/>
  <c r="E7" i="11"/>
  <c r="D7" i="11"/>
  <c r="C7" i="11"/>
  <c r="L99" i="10" l="1"/>
  <c r="AF183" i="7"/>
  <c r="AF179" i="7"/>
  <c r="AF180" i="7" s="1"/>
  <c r="AF181" i="7" s="1"/>
  <c r="F88" i="12"/>
  <c r="F91" i="12" s="1"/>
  <c r="E88" i="12"/>
  <c r="E94" i="12" s="1"/>
  <c r="D88" i="12"/>
  <c r="D93" i="12" s="1"/>
  <c r="C88" i="12"/>
  <c r="C94" i="12" s="1"/>
  <c r="B88" i="12"/>
  <c r="A78" i="12"/>
  <c r="A77" i="12"/>
  <c r="A70" i="12"/>
  <c r="A69" i="12"/>
  <c r="E99" i="12" l="1"/>
  <c r="AF182" i="7"/>
  <c r="AF186" i="7"/>
  <c r="D94" i="12"/>
  <c r="E90" i="12"/>
  <c r="E97" i="12"/>
  <c r="E93" i="12"/>
  <c r="E96" i="12"/>
  <c r="E92" i="12"/>
  <c r="B91" i="12"/>
  <c r="B90" i="12"/>
  <c r="E95" i="12"/>
  <c r="C91" i="12"/>
  <c r="C99" i="12"/>
  <c r="D98" i="12"/>
  <c r="C95" i="12"/>
  <c r="E91" i="12"/>
  <c r="B92" i="12"/>
  <c r="D90" i="12"/>
  <c r="F98" i="12"/>
  <c r="B98" i="12"/>
  <c r="C97" i="12"/>
  <c r="D96" i="12"/>
  <c r="F94" i="12"/>
  <c r="B94" i="12"/>
  <c r="C93" i="12"/>
  <c r="D92" i="12"/>
  <c r="C90" i="12"/>
  <c r="D99" i="12"/>
  <c r="E98" i="12"/>
  <c r="F97" i="12"/>
  <c r="B97" i="12"/>
  <c r="C96" i="12"/>
  <c r="D95" i="12"/>
  <c r="F93" i="12"/>
  <c r="B93" i="12"/>
  <c r="C92" i="12"/>
  <c r="D91" i="12"/>
  <c r="F96" i="12"/>
  <c r="B96" i="12"/>
  <c r="F92" i="12"/>
  <c r="F90" i="12"/>
  <c r="F99" i="12"/>
  <c r="B99" i="12"/>
  <c r="C98" i="12"/>
  <c r="D97" i="12"/>
  <c r="F95" i="12"/>
  <c r="B95" i="12"/>
  <c r="T34" i="12"/>
  <c r="T37" i="12" s="1"/>
  <c r="S34" i="12"/>
  <c r="S38" i="12" s="1"/>
  <c r="R34" i="12"/>
  <c r="R39" i="12" s="1"/>
  <c r="Q34" i="12"/>
  <c r="Q40" i="12" s="1"/>
  <c r="P34" i="12"/>
  <c r="P37" i="12" s="1"/>
  <c r="K17" i="10"/>
  <c r="J17" i="10"/>
  <c r="M17" i="10"/>
  <c r="N17" i="10" s="1"/>
  <c r="Q17" i="10"/>
  <c r="O17" i="10"/>
  <c r="P17" i="10"/>
  <c r="C28" i="14"/>
  <c r="C27" i="14" s="1"/>
  <c r="C29" i="14"/>
  <c r="C26" i="14"/>
  <c r="C25" i="14"/>
  <c r="N7" i="12"/>
  <c r="P7" i="12"/>
  <c r="R7" i="12"/>
  <c r="N8" i="12"/>
  <c r="P8" i="12"/>
  <c r="R8" i="12"/>
  <c r="N9" i="12"/>
  <c r="P9" i="12"/>
  <c r="R9" i="12"/>
  <c r="N10" i="12"/>
  <c r="P10" i="12"/>
  <c r="R10" i="12"/>
  <c r="N11" i="12"/>
  <c r="P11" i="12"/>
  <c r="R11" i="12"/>
  <c r="N12" i="12"/>
  <c r="P12" i="12"/>
  <c r="R12" i="12"/>
  <c r="N13" i="12"/>
  <c r="P13" i="12"/>
  <c r="R13" i="12"/>
  <c r="N14" i="12"/>
  <c r="P14" i="12"/>
  <c r="R14" i="12"/>
  <c r="N15" i="12"/>
  <c r="P15" i="12"/>
  <c r="R15" i="12"/>
  <c r="L7" i="12"/>
  <c r="L8" i="12"/>
  <c r="L9" i="12"/>
  <c r="L10" i="12"/>
  <c r="L11" i="12"/>
  <c r="L12" i="12"/>
  <c r="L13" i="12"/>
  <c r="L14" i="12"/>
  <c r="L15" i="12"/>
  <c r="R4" i="12"/>
  <c r="P4" i="12"/>
  <c r="N4" i="12"/>
  <c r="L4" i="12"/>
  <c r="J4" i="12"/>
  <c r="R6" i="12"/>
  <c r="P6" i="12"/>
  <c r="N6" i="12"/>
  <c r="L6" i="12"/>
  <c r="J7" i="12"/>
  <c r="J8" i="12"/>
  <c r="J9" i="12"/>
  <c r="J10" i="12"/>
  <c r="K10" i="12" s="1"/>
  <c r="J11" i="12"/>
  <c r="J12" i="12"/>
  <c r="J13" i="12"/>
  <c r="J14" i="12"/>
  <c r="K14" i="12" s="1"/>
  <c r="J15" i="12"/>
  <c r="J6" i="12"/>
  <c r="O15" i="12" l="1"/>
  <c r="S15" i="12"/>
  <c r="Q14" i="12"/>
  <c r="Q12" i="12"/>
  <c r="O6" i="12"/>
  <c r="M11" i="12"/>
  <c r="Q13" i="12"/>
  <c r="R44" i="12"/>
  <c r="M6" i="12"/>
  <c r="M12" i="12"/>
  <c r="M8" i="12"/>
  <c r="Q8" i="12"/>
  <c r="O7" i="12"/>
  <c r="Q9" i="12"/>
  <c r="Q6" i="12"/>
  <c r="O11" i="12"/>
  <c r="Q10" i="12"/>
  <c r="R38" i="12"/>
  <c r="T38" i="12"/>
  <c r="P42" i="12"/>
  <c r="M9" i="12"/>
  <c r="Q7" i="12"/>
  <c r="R40" i="12"/>
  <c r="S8" i="12"/>
  <c r="K13" i="12"/>
  <c r="K9" i="12"/>
  <c r="M15" i="12"/>
  <c r="M7" i="12"/>
  <c r="S11" i="12"/>
  <c r="S10" i="12"/>
  <c r="P44" i="12"/>
  <c r="T40" i="12"/>
  <c r="K6" i="12"/>
  <c r="K12" i="12"/>
  <c r="K8" i="12"/>
  <c r="M14" i="12"/>
  <c r="M10" i="12"/>
  <c r="O8" i="12"/>
  <c r="P36" i="12"/>
  <c r="T42" i="12"/>
  <c r="P38" i="12"/>
  <c r="K15" i="12"/>
  <c r="K11" i="12"/>
  <c r="K7" i="12"/>
  <c r="S6" i="12"/>
  <c r="M13" i="12"/>
  <c r="Q15" i="12"/>
  <c r="O10" i="12"/>
  <c r="T44" i="12"/>
  <c r="R42" i="12"/>
  <c r="P40" i="12"/>
  <c r="S37" i="12"/>
  <c r="S14" i="12"/>
  <c r="O14" i="12"/>
  <c r="S12" i="12"/>
  <c r="O12" i="12"/>
  <c r="S9" i="12"/>
  <c r="S7" i="12"/>
  <c r="S36" i="12"/>
  <c r="S45" i="12"/>
  <c r="Q43" i="12"/>
  <c r="S41" i="12"/>
  <c r="Q39" i="12"/>
  <c r="Q11" i="12"/>
  <c r="R36" i="12"/>
  <c r="R45" i="12"/>
  <c r="S44" i="12"/>
  <c r="T43" i="12"/>
  <c r="P43" i="12"/>
  <c r="Q42" i="12"/>
  <c r="R41" i="12"/>
  <c r="S40" i="12"/>
  <c r="T39" i="12"/>
  <c r="P39" i="12"/>
  <c r="Q38" i="12"/>
  <c r="R37" i="12"/>
  <c r="O13" i="12"/>
  <c r="Q36" i="12"/>
  <c r="Q45" i="12"/>
  <c r="S43" i="12"/>
  <c r="Q41" i="12"/>
  <c r="S39" i="12"/>
  <c r="Q37" i="12"/>
  <c r="S13" i="12"/>
  <c r="O9" i="12"/>
  <c r="T36" i="12"/>
  <c r="T45" i="12"/>
  <c r="P45" i="12"/>
  <c r="Q44" i="12"/>
  <c r="R43" i="12"/>
  <c r="S42" i="12"/>
  <c r="T41" i="12"/>
  <c r="P41" i="12"/>
  <c r="R17" i="10"/>
  <c r="S17" i="10" s="1"/>
  <c r="T17" i="10" s="1"/>
  <c r="J82" i="10"/>
  <c r="M82" i="10"/>
  <c r="J83" i="10"/>
  <c r="M83" i="10"/>
  <c r="J84" i="10"/>
  <c r="M84" i="10"/>
  <c r="J85" i="10"/>
  <c r="M85" i="10"/>
  <c r="J86" i="10"/>
  <c r="M86" i="10"/>
  <c r="J87" i="10"/>
  <c r="M87" i="10"/>
  <c r="M77" i="10"/>
  <c r="M79" i="10"/>
  <c r="M80" i="10"/>
  <c r="M81" i="10"/>
  <c r="J74" i="10"/>
  <c r="J75" i="10"/>
  <c r="J76" i="10"/>
  <c r="J77" i="10"/>
  <c r="J78" i="10"/>
  <c r="J79" i="10"/>
  <c r="J80" i="10"/>
  <c r="J81" i="10"/>
  <c r="F71" i="10"/>
  <c r="F72" i="10"/>
  <c r="F73" i="10"/>
  <c r="F74" i="10"/>
  <c r="F75" i="10"/>
  <c r="F76" i="10"/>
  <c r="F77" i="10"/>
  <c r="F78" i="10"/>
  <c r="F79" i="10"/>
  <c r="C69" i="10"/>
  <c r="C70" i="10"/>
  <c r="C71" i="10"/>
  <c r="C72" i="10"/>
  <c r="C73" i="10"/>
  <c r="M78" i="10"/>
  <c r="B47" i="13"/>
  <c r="B48" i="13"/>
  <c r="B49" i="13"/>
  <c r="B50" i="13"/>
  <c r="B51" i="13"/>
  <c r="B52" i="13"/>
  <c r="B53" i="13"/>
  <c r="B54" i="13"/>
  <c r="B46" i="13"/>
  <c r="B8" i="11" l="1"/>
  <c r="B9" i="11"/>
  <c r="B10" i="11"/>
  <c r="B11" i="11"/>
  <c r="B12" i="11"/>
  <c r="B13" i="11"/>
  <c r="B14" i="11"/>
  <c r="B7" i="11"/>
  <c r="C3" i="12"/>
  <c r="D3" i="12"/>
  <c r="E3" i="12"/>
  <c r="F3" i="12"/>
  <c r="B3" i="12"/>
  <c r="D8" i="12" l="1"/>
  <c r="D12" i="12"/>
  <c r="D9" i="12"/>
  <c r="D13" i="12"/>
  <c r="D6" i="12"/>
  <c r="D10" i="12"/>
  <c r="D14" i="12"/>
  <c r="D5" i="12"/>
  <c r="D7" i="12"/>
  <c r="D11" i="12"/>
  <c r="B6" i="12"/>
  <c r="B10" i="12"/>
  <c r="B14" i="12"/>
  <c r="B7" i="12"/>
  <c r="B11" i="12"/>
  <c r="B5" i="12"/>
  <c r="B8" i="12"/>
  <c r="B12" i="12"/>
  <c r="B9" i="12"/>
  <c r="B13" i="12"/>
  <c r="C9" i="12"/>
  <c r="C13" i="12"/>
  <c r="C6" i="12"/>
  <c r="C10" i="12"/>
  <c r="C14" i="12"/>
  <c r="C5" i="12"/>
  <c r="C7" i="12"/>
  <c r="C11" i="12"/>
  <c r="C8" i="12"/>
  <c r="C12" i="12"/>
  <c r="E7" i="12"/>
  <c r="E11" i="12"/>
  <c r="E8" i="12"/>
  <c r="E12" i="12"/>
  <c r="E9" i="12"/>
  <c r="E13" i="12"/>
  <c r="E6" i="12"/>
  <c r="E10" i="12"/>
  <c r="E14" i="12"/>
  <c r="E5" i="12"/>
  <c r="F6" i="12"/>
  <c r="F10" i="12"/>
  <c r="F14" i="12"/>
  <c r="F5" i="12"/>
  <c r="F7" i="12"/>
  <c r="F11" i="12"/>
  <c r="F8" i="12"/>
  <c r="F12" i="12"/>
  <c r="F9" i="12"/>
  <c r="F13" i="12"/>
  <c r="A39" i="10"/>
  <c r="A38" i="10"/>
  <c r="G38" i="10"/>
  <c r="E38" i="10"/>
  <c r="G37" i="10"/>
  <c r="E37" i="10"/>
  <c r="G36" i="10"/>
  <c r="E36" i="10"/>
  <c r="G35" i="10"/>
  <c r="E35" i="10"/>
  <c r="L104" i="10" l="1"/>
  <c r="L105" i="10" s="1"/>
  <c r="L106" i="10" s="1"/>
  <c r="C8" i="10"/>
  <c r="AP97" i="7"/>
  <c r="AP98" i="7"/>
  <c r="AP99" i="7"/>
  <c r="AP100" i="7"/>
  <c r="AP101" i="7"/>
  <c r="AP102" i="7"/>
  <c r="AP103" i="7"/>
  <c r="AP104" i="7"/>
  <c r="AP105" i="7"/>
  <c r="AP106" i="7"/>
  <c r="AP107" i="7"/>
  <c r="AP108" i="7"/>
  <c r="AP109" i="7"/>
  <c r="AP110" i="7"/>
  <c r="AP96" i="7"/>
  <c r="AP79" i="7"/>
  <c r="AP80" i="7"/>
  <c r="AP81" i="7"/>
  <c r="AP82" i="7"/>
  <c r="AP83" i="7"/>
  <c r="AP84" i="7"/>
  <c r="AP85" i="7"/>
  <c r="AP86" i="7"/>
  <c r="AP87" i="7"/>
  <c r="AP88" i="7"/>
  <c r="AP78" i="7"/>
  <c r="AP61" i="7"/>
  <c r="AP62" i="7"/>
  <c r="AP63" i="7"/>
  <c r="AP64" i="7"/>
  <c r="AP65" i="7"/>
  <c r="AP60" i="7"/>
  <c r="AP42" i="7"/>
  <c r="AP43" i="7"/>
  <c r="AP44" i="7"/>
  <c r="AP45" i="7"/>
  <c r="AP41" i="7"/>
  <c r="I8" i="11" l="1"/>
  <c r="J8" i="11"/>
  <c r="K8" i="11"/>
  <c r="L8" i="11"/>
  <c r="I9" i="11"/>
  <c r="J9" i="11"/>
  <c r="K9" i="11"/>
  <c r="L9" i="11"/>
  <c r="I10" i="11"/>
  <c r="J10" i="11"/>
  <c r="K10" i="11"/>
  <c r="L10" i="11"/>
  <c r="I11" i="11"/>
  <c r="J11" i="11"/>
  <c r="K11" i="11"/>
  <c r="L11" i="11"/>
  <c r="I12" i="11"/>
  <c r="J12" i="11"/>
  <c r="K12" i="11"/>
  <c r="L12" i="11"/>
  <c r="I13" i="11"/>
  <c r="J13" i="11"/>
  <c r="K13" i="11"/>
  <c r="L13" i="11"/>
  <c r="I14" i="11"/>
  <c r="J14" i="11"/>
  <c r="K14" i="11"/>
  <c r="L14" i="11"/>
  <c r="J7" i="11"/>
  <c r="K7" i="11"/>
  <c r="L7" i="11"/>
  <c r="I7" i="11"/>
  <c r="J16" i="10" l="1"/>
  <c r="J18" i="10"/>
  <c r="J19" i="10"/>
  <c r="J22" i="10"/>
  <c r="J23" i="10"/>
  <c r="J15" i="10"/>
  <c r="C35" i="9"/>
  <c r="C36" i="9"/>
  <c r="B3" i="9"/>
  <c r="L16" i="10"/>
  <c r="L18" i="10"/>
  <c r="L19" i="10"/>
  <c r="L22" i="10"/>
  <c r="L23" i="10"/>
  <c r="L15" i="10"/>
  <c r="K16" i="10"/>
  <c r="K18" i="10"/>
  <c r="K19" i="10"/>
  <c r="K22" i="10"/>
  <c r="K23" i="10"/>
  <c r="K15" i="10"/>
  <c r="M18" i="10"/>
  <c r="N18" i="10"/>
  <c r="O18" i="10"/>
  <c r="P18" i="10"/>
  <c r="Q18" i="10"/>
  <c r="M19" i="10"/>
  <c r="N19" i="10"/>
  <c r="O19" i="10"/>
  <c r="P19" i="10"/>
  <c r="Q19" i="10"/>
  <c r="M22" i="10"/>
  <c r="N22" i="10"/>
  <c r="O22" i="10"/>
  <c r="P22" i="10"/>
  <c r="Q22" i="10"/>
  <c r="M23" i="10"/>
  <c r="N23" i="10"/>
  <c r="O23" i="10"/>
  <c r="P23" i="10"/>
  <c r="Q23" i="10"/>
  <c r="M16" i="10"/>
  <c r="N16" i="10"/>
  <c r="O16" i="10"/>
  <c r="P16" i="10"/>
  <c r="Q16" i="10"/>
  <c r="N15" i="10"/>
  <c r="M15" i="10"/>
  <c r="Q15" i="10"/>
  <c r="P15" i="10"/>
  <c r="O15" i="10"/>
  <c r="R16" i="10" l="1"/>
  <c r="S16" i="10" s="1"/>
  <c r="T16" i="10" s="1"/>
  <c r="U16" i="10" s="1"/>
  <c r="R18" i="10"/>
  <c r="S18" i="10" s="1"/>
  <c r="T18" i="10" s="1"/>
  <c r="U18" i="10" s="1"/>
  <c r="R22" i="10"/>
  <c r="S22" i="10" s="1"/>
  <c r="T22" i="10" s="1"/>
  <c r="U22" i="10" s="1"/>
  <c r="R23" i="10"/>
  <c r="S23" i="10" s="1"/>
  <c r="T23" i="10" s="1"/>
  <c r="U23" i="10" s="1"/>
  <c r="R19" i="10"/>
  <c r="S19" i="10" s="1"/>
  <c r="T19" i="10" s="1"/>
  <c r="U19" i="10" s="1"/>
  <c r="R15" i="10"/>
  <c r="S15" i="10" s="1"/>
  <c r="T15" i="10" s="1"/>
  <c r="U15" i="10" s="1"/>
  <c r="C9" i="10" l="1"/>
  <c r="AD41" i="7" l="1"/>
  <c r="AE41" i="7"/>
  <c r="AF41" i="7"/>
  <c r="AF97" i="7"/>
  <c r="AF98" i="7"/>
  <c r="AF99" i="7"/>
  <c r="AF100" i="7"/>
  <c r="AF101" i="7"/>
  <c r="AF102" i="7"/>
  <c r="AF103" i="7"/>
  <c r="AF104" i="7"/>
  <c r="AF105" i="7"/>
  <c r="AF106" i="7"/>
  <c r="AF107" i="7"/>
  <c r="AF108" i="7"/>
  <c r="AF109" i="7"/>
  <c r="AF110" i="7"/>
  <c r="AF96" i="7"/>
  <c r="AE97" i="7"/>
  <c r="AE98" i="7"/>
  <c r="AE99" i="7"/>
  <c r="AE100" i="7"/>
  <c r="AE101" i="7"/>
  <c r="AE102" i="7"/>
  <c r="AE103" i="7"/>
  <c r="AE104" i="7"/>
  <c r="AE105" i="7"/>
  <c r="AE106" i="7"/>
  <c r="AE107" i="7"/>
  <c r="AE108" i="7"/>
  <c r="AE109" i="7"/>
  <c r="AE110" i="7"/>
  <c r="AE96" i="7"/>
  <c r="AD97" i="7"/>
  <c r="AD98" i="7"/>
  <c r="AD99" i="7"/>
  <c r="AD100" i="7"/>
  <c r="AD101" i="7"/>
  <c r="AD102" i="7"/>
  <c r="AD103" i="7"/>
  <c r="AD104" i="7"/>
  <c r="AD105" i="7"/>
  <c r="AD106" i="7"/>
  <c r="AD107" i="7"/>
  <c r="AD108" i="7"/>
  <c r="AD109" i="7"/>
  <c r="AD110" i="7"/>
  <c r="AD96" i="7"/>
  <c r="AF79" i="7"/>
  <c r="AF80" i="7"/>
  <c r="AF81" i="7"/>
  <c r="AF82" i="7"/>
  <c r="AF83" i="7"/>
  <c r="AF84" i="7"/>
  <c r="AF85" i="7"/>
  <c r="AF86" i="7"/>
  <c r="AF87" i="7"/>
  <c r="AF88" i="7"/>
  <c r="AF89" i="7"/>
  <c r="AF90" i="7"/>
  <c r="AF91" i="7"/>
  <c r="AF92" i="7"/>
  <c r="AF78" i="7"/>
  <c r="AE79" i="7"/>
  <c r="AE80" i="7"/>
  <c r="AE81" i="7"/>
  <c r="AE82" i="7"/>
  <c r="AE83" i="7"/>
  <c r="AE84" i="7"/>
  <c r="AE85" i="7"/>
  <c r="AE86" i="7"/>
  <c r="AE87" i="7"/>
  <c r="AE88" i="7"/>
  <c r="AE89" i="7"/>
  <c r="AE90" i="7"/>
  <c r="AE91" i="7"/>
  <c r="AE92" i="7"/>
  <c r="AE78" i="7"/>
  <c r="AD79" i="7"/>
  <c r="AD80" i="7"/>
  <c r="AD81" i="7"/>
  <c r="AD82" i="7"/>
  <c r="AD83" i="7"/>
  <c r="AD84" i="7"/>
  <c r="AD85" i="7"/>
  <c r="AD86" i="7"/>
  <c r="AD87" i="7"/>
  <c r="AD88" i="7"/>
  <c r="AD89" i="7"/>
  <c r="AD90" i="7"/>
  <c r="AD91" i="7"/>
  <c r="AD92" i="7"/>
  <c r="AD78" i="7"/>
  <c r="AF61" i="7"/>
  <c r="AF62" i="7"/>
  <c r="AF63" i="7"/>
  <c r="AF64" i="7"/>
  <c r="AF65" i="7"/>
  <c r="AF66" i="7"/>
  <c r="AF67" i="7"/>
  <c r="AF68" i="7"/>
  <c r="AF69" i="7"/>
  <c r="AF70" i="7"/>
  <c r="AF71" i="7"/>
  <c r="AF72" i="7"/>
  <c r="AF73" i="7"/>
  <c r="AF74" i="7"/>
  <c r="AF60" i="7"/>
  <c r="AE61" i="7"/>
  <c r="AE62" i="7"/>
  <c r="AE63" i="7"/>
  <c r="AE64" i="7"/>
  <c r="AE65" i="7"/>
  <c r="AE66" i="7"/>
  <c r="AE67" i="7"/>
  <c r="AE68" i="7"/>
  <c r="AE69" i="7"/>
  <c r="AE70" i="7"/>
  <c r="AE71" i="7"/>
  <c r="AE72" i="7"/>
  <c r="AE73" i="7"/>
  <c r="AE74" i="7"/>
  <c r="AE60" i="7"/>
  <c r="AD61" i="7"/>
  <c r="AD62" i="7"/>
  <c r="AD63" i="7"/>
  <c r="AD64" i="7"/>
  <c r="AD65" i="7"/>
  <c r="AD66" i="7"/>
  <c r="AD67" i="7"/>
  <c r="AD68" i="7"/>
  <c r="AD69" i="7"/>
  <c r="AD70" i="7"/>
  <c r="AD71" i="7"/>
  <c r="AD72" i="7"/>
  <c r="AD73" i="7"/>
  <c r="AD74" i="7"/>
  <c r="AD60" i="7"/>
  <c r="AF43" i="7"/>
  <c r="AF44" i="7"/>
  <c r="AF45" i="7"/>
  <c r="AF46" i="7"/>
  <c r="AF47" i="7"/>
  <c r="AF48" i="7"/>
  <c r="AF49" i="7"/>
  <c r="AF50" i="7"/>
  <c r="AF51" i="7"/>
  <c r="AF52" i="7"/>
  <c r="AF53" i="7"/>
  <c r="AF54" i="7"/>
  <c r="AF55" i="7"/>
  <c r="AF56" i="7"/>
  <c r="AF42" i="7"/>
  <c r="AE43" i="7"/>
  <c r="AE44" i="7"/>
  <c r="AE45" i="7"/>
  <c r="AE46" i="7"/>
  <c r="AE47" i="7"/>
  <c r="AE48" i="7"/>
  <c r="AE49" i="7"/>
  <c r="AE50" i="7"/>
  <c r="AE51" i="7"/>
  <c r="AE52" i="7"/>
  <c r="AE53" i="7"/>
  <c r="AE54" i="7"/>
  <c r="AE55" i="7"/>
  <c r="AE56" i="7"/>
  <c r="AE42" i="7"/>
  <c r="AD43" i="7"/>
  <c r="AD44" i="7"/>
  <c r="AD45" i="7"/>
  <c r="AD46" i="7"/>
  <c r="AD47" i="7"/>
  <c r="AD48" i="7"/>
  <c r="AD49" i="7"/>
  <c r="AD50" i="7"/>
  <c r="AD51" i="7"/>
  <c r="AD52" i="7"/>
  <c r="AD53" i="7"/>
  <c r="AD54" i="7"/>
  <c r="AD55" i="7"/>
  <c r="AD56" i="7"/>
  <c r="AD42" i="7"/>
  <c r="F42" i="5"/>
  <c r="G42" i="5" s="1"/>
  <c r="F43" i="5"/>
  <c r="G43" i="5" s="1"/>
  <c r="F44" i="5"/>
  <c r="G44" i="5" s="1"/>
  <c r="F45" i="5"/>
  <c r="G45" i="5" s="1"/>
  <c r="F46" i="5"/>
  <c r="G46" i="5" s="1"/>
  <c r="F47" i="5"/>
  <c r="G47" i="5" s="1"/>
  <c r="F48" i="5"/>
  <c r="G48" i="5" s="1"/>
  <c r="F49" i="5"/>
  <c r="G49" i="5" s="1"/>
  <c r="F50" i="5"/>
  <c r="G50" i="5" s="1"/>
  <c r="F51" i="5"/>
  <c r="G51" i="5" s="1"/>
  <c r="F52" i="5"/>
  <c r="G52" i="5" s="1"/>
  <c r="F53" i="5"/>
  <c r="G53" i="5" s="1"/>
  <c r="F54" i="5"/>
  <c r="G54" i="5" s="1"/>
  <c r="F55" i="5"/>
  <c r="G55" i="5" s="1"/>
  <c r="F41" i="5"/>
  <c r="G41" i="5" s="1"/>
  <c r="C62" i="5"/>
  <c r="B37" i="5"/>
  <c r="C37" i="5" s="1"/>
  <c r="B38" i="5"/>
  <c r="C38" i="5" s="1"/>
  <c r="B39" i="5"/>
  <c r="C39" i="5" s="1"/>
  <c r="B40" i="5"/>
  <c r="C40" i="5" s="1"/>
  <c r="B41" i="5"/>
  <c r="C41" i="5" s="1"/>
  <c r="B42" i="5"/>
  <c r="C42" i="5" s="1"/>
  <c r="B43" i="5"/>
  <c r="C43" i="5" s="1"/>
  <c r="B44" i="5"/>
  <c r="C44" i="5" s="1"/>
  <c r="B45" i="5"/>
  <c r="C45" i="5" s="1"/>
  <c r="B46" i="5"/>
  <c r="C46" i="5" s="1"/>
  <c r="B47" i="5"/>
  <c r="C47" i="5" s="1"/>
  <c r="B48" i="5"/>
  <c r="C48" i="5" s="1"/>
  <c r="B49" i="5"/>
  <c r="C49" i="5" s="1"/>
  <c r="B50" i="5"/>
  <c r="C50" i="5" s="1"/>
  <c r="B51" i="5"/>
  <c r="C51" i="5" s="1"/>
  <c r="B52" i="5"/>
  <c r="C52" i="5" s="1"/>
  <c r="B53" i="5"/>
  <c r="C53" i="5" s="1"/>
  <c r="B54" i="5"/>
  <c r="C54" i="5" s="1"/>
  <c r="B55" i="5"/>
  <c r="C55" i="5" s="1"/>
  <c r="B56" i="5"/>
  <c r="C56" i="5" s="1"/>
  <c r="B57" i="5"/>
  <c r="C57" i="5" s="1"/>
  <c r="B58" i="5"/>
  <c r="C58" i="5" s="1"/>
  <c r="B59" i="5"/>
  <c r="C59" i="5" s="1"/>
  <c r="B60" i="5"/>
  <c r="C60" i="5" s="1"/>
  <c r="B61" i="5"/>
  <c r="C61" i="5" s="1"/>
  <c r="B62" i="5"/>
  <c r="B76" i="5"/>
  <c r="C76" i="5"/>
  <c r="D76" i="5"/>
  <c r="B77" i="5"/>
  <c r="C77" i="5"/>
  <c r="D77" i="5"/>
  <c r="B78" i="5"/>
  <c r="C78" i="5"/>
  <c r="D78" i="5"/>
  <c r="B79" i="5"/>
  <c r="C79" i="5"/>
  <c r="D79" i="5"/>
  <c r="B80" i="5"/>
  <c r="C80" i="5"/>
  <c r="D80" i="5"/>
  <c r="B81" i="5"/>
  <c r="C81" i="5"/>
  <c r="D81" i="5"/>
  <c r="B82" i="5"/>
  <c r="C82" i="5"/>
  <c r="D82" i="5"/>
  <c r="B83" i="5"/>
  <c r="C83" i="5"/>
  <c r="D83" i="5"/>
  <c r="B84" i="5"/>
  <c r="C84" i="5"/>
  <c r="D84" i="5"/>
  <c r="B88" i="5"/>
  <c r="C88" i="5"/>
  <c r="D88" i="5"/>
  <c r="B89" i="5"/>
  <c r="C89" i="5"/>
  <c r="D89" i="5"/>
  <c r="B90" i="5"/>
  <c r="C90" i="5"/>
  <c r="D90" i="5"/>
  <c r="B91" i="5"/>
  <c r="C91" i="5"/>
  <c r="D91" i="5"/>
  <c r="B92" i="5"/>
  <c r="C92" i="5"/>
  <c r="D92" i="5"/>
  <c r="B93" i="5"/>
  <c r="C93" i="5"/>
  <c r="D93" i="5"/>
  <c r="B94" i="5"/>
  <c r="C94" i="5"/>
  <c r="D94" i="5"/>
  <c r="B95" i="5"/>
  <c r="C95" i="5"/>
  <c r="D95" i="5"/>
  <c r="B96" i="5"/>
  <c r="C96" i="5"/>
  <c r="D96" i="5"/>
  <c r="B97" i="5"/>
  <c r="C97" i="5"/>
  <c r="D97" i="5"/>
  <c r="B101" i="5"/>
  <c r="C101" i="5"/>
  <c r="D101" i="5"/>
  <c r="B102" i="5"/>
  <c r="C102" i="5"/>
  <c r="D102" i="5"/>
  <c r="B103" i="5"/>
  <c r="C103" i="5"/>
  <c r="D103" i="5"/>
  <c r="B104" i="5"/>
  <c r="C104" i="5"/>
  <c r="D104" i="5"/>
  <c r="B105" i="5"/>
  <c r="C105" i="5"/>
  <c r="D105" i="5"/>
  <c r="B106" i="5"/>
  <c r="C106" i="5"/>
  <c r="D106" i="5"/>
  <c r="B107" i="5"/>
  <c r="C107" i="5"/>
  <c r="D107" i="5"/>
  <c r="B108" i="5"/>
  <c r="C108" i="5"/>
  <c r="D108" i="5"/>
  <c r="B109" i="5"/>
  <c r="C109" i="5"/>
  <c r="D109" i="5"/>
  <c r="B110" i="5"/>
  <c r="C110" i="5"/>
  <c r="D110" i="5"/>
  <c r="B111" i="5"/>
  <c r="C111" i="5"/>
  <c r="D111" i="5"/>
  <c r="B112" i="5"/>
  <c r="C112" i="5"/>
  <c r="D112" i="5"/>
  <c r="A120" i="5"/>
  <c r="A121" i="5"/>
  <c r="C125" i="5"/>
  <c r="D125" i="5" s="1"/>
  <c r="E125" i="5" s="1"/>
  <c r="C126" i="5"/>
  <c r="D126" i="5" s="1"/>
  <c r="E126" i="5" s="1"/>
  <c r="C127" i="5"/>
  <c r="D127" i="5" s="1"/>
  <c r="E127" i="5" s="1"/>
  <c r="E103" i="5" l="1"/>
  <c r="E96" i="5"/>
  <c r="E88" i="5"/>
  <c r="E77" i="5"/>
  <c r="E111" i="5"/>
  <c r="E112" i="5"/>
  <c r="E104" i="5"/>
  <c r="E97" i="5"/>
  <c r="E102" i="5"/>
  <c r="E84" i="5"/>
  <c r="E76" i="5"/>
  <c r="E89" i="5"/>
  <c r="E101" i="5"/>
  <c r="E90" i="5"/>
  <c r="E83" i="5"/>
  <c r="AG61" i="7"/>
  <c r="AH61" i="7" s="1"/>
  <c r="AG97" i="7"/>
  <c r="AL97" i="7" s="1"/>
  <c r="AG67" i="7"/>
  <c r="AH67" i="7" s="1"/>
  <c r="AG101" i="7"/>
  <c r="AL101" i="7" s="1"/>
  <c r="AG73" i="7"/>
  <c r="AH73" i="7" s="1"/>
  <c r="AG69" i="7"/>
  <c r="AH69" i="7" s="1"/>
  <c r="AG65" i="7"/>
  <c r="AL65" i="7" s="1"/>
  <c r="AG78" i="7"/>
  <c r="AH78" i="7" s="1"/>
  <c r="AG105" i="7"/>
  <c r="AH105" i="7" s="1"/>
  <c r="E110" i="5"/>
  <c r="F110" i="5" s="1"/>
  <c r="E109" i="5"/>
  <c r="J109" i="5" s="1"/>
  <c r="E108" i="5"/>
  <c r="F108" i="5" s="1"/>
  <c r="E107" i="5"/>
  <c r="F107" i="5" s="1"/>
  <c r="E106" i="5"/>
  <c r="F106" i="5" s="1"/>
  <c r="E105" i="5"/>
  <c r="F105" i="5" s="1"/>
  <c r="E95" i="5"/>
  <c r="F95" i="5" s="1"/>
  <c r="E94" i="5"/>
  <c r="F94" i="5" s="1"/>
  <c r="E93" i="5"/>
  <c r="J93" i="5" s="1"/>
  <c r="E92" i="5"/>
  <c r="F92" i="5" s="1"/>
  <c r="E91" i="5"/>
  <c r="F91" i="5" s="1"/>
  <c r="E82" i="5"/>
  <c r="F82" i="5" s="1"/>
  <c r="E81" i="5"/>
  <c r="F81" i="5" s="1"/>
  <c r="E80" i="5"/>
  <c r="F80" i="5" s="1"/>
  <c r="E79" i="5"/>
  <c r="J79" i="5" s="1"/>
  <c r="E78" i="5"/>
  <c r="F78" i="5" s="1"/>
  <c r="AG109" i="7"/>
  <c r="AL109" i="7" s="1"/>
  <c r="AG41" i="7"/>
  <c r="AH41" i="7" s="1"/>
  <c r="AG99" i="7"/>
  <c r="AH99" i="7" s="1"/>
  <c r="AG103" i="7"/>
  <c r="AL103" i="7" s="1"/>
  <c r="AG107" i="7"/>
  <c r="AL107" i="7" s="1"/>
  <c r="AG80" i="7"/>
  <c r="AH80" i="7" s="1"/>
  <c r="AG82" i="7"/>
  <c r="AL82" i="7" s="1"/>
  <c r="AG84" i="7"/>
  <c r="AL84" i="7" s="1"/>
  <c r="AG86" i="7"/>
  <c r="AL86" i="7" s="1"/>
  <c r="AG88" i="7"/>
  <c r="AH88" i="7" s="1"/>
  <c r="AG90" i="7"/>
  <c r="AH90" i="7" s="1"/>
  <c r="AG92" i="7"/>
  <c r="AH92" i="7" s="1"/>
  <c r="AG60" i="7"/>
  <c r="AH60" i="7" s="1"/>
  <c r="AG71" i="7"/>
  <c r="AH71" i="7" s="1"/>
  <c r="AG63" i="7"/>
  <c r="AL63" i="7" s="1"/>
  <c r="AG79" i="7"/>
  <c r="AH79" i="7" s="1"/>
  <c r="AG83" i="7"/>
  <c r="AL83" i="7" s="1"/>
  <c r="AG87" i="7"/>
  <c r="AL87" i="7" s="1"/>
  <c r="AG91" i="7"/>
  <c r="AH91" i="7" s="1"/>
  <c r="AG98" i="7"/>
  <c r="AH98" i="7" s="1"/>
  <c r="AG102" i="7"/>
  <c r="AH102" i="7" s="1"/>
  <c r="AG106" i="7"/>
  <c r="AH106" i="7" s="1"/>
  <c r="AG110" i="7"/>
  <c r="AL110" i="7" s="1"/>
  <c r="AG81" i="7"/>
  <c r="AL81" i="7" s="1"/>
  <c r="AG85" i="7"/>
  <c r="AG89" i="7"/>
  <c r="AH89" i="7" s="1"/>
  <c r="AG96" i="7"/>
  <c r="AL96" i="7" s="1"/>
  <c r="AG100" i="7"/>
  <c r="AH100" i="7" s="1"/>
  <c r="AG104" i="7"/>
  <c r="AL104" i="7" s="1"/>
  <c r="AG108" i="7"/>
  <c r="AL108" i="7" s="1"/>
  <c r="AG62" i="7"/>
  <c r="AL62" i="7" s="1"/>
  <c r="AG64" i="7"/>
  <c r="AL64" i="7" s="1"/>
  <c r="AG66" i="7"/>
  <c r="AH66" i="7" s="1"/>
  <c r="AG68" i="7"/>
  <c r="AG70" i="7"/>
  <c r="AH70" i="7" s="1"/>
  <c r="AG72" i="7"/>
  <c r="AG74" i="7"/>
  <c r="AH74" i="7" s="1"/>
  <c r="AG55" i="7"/>
  <c r="AH55" i="7" s="1"/>
  <c r="AG51" i="7"/>
  <c r="AH51" i="7" s="1"/>
  <c r="AG47" i="7"/>
  <c r="AG43" i="7"/>
  <c r="AL43" i="7" s="1"/>
  <c r="AG54" i="7"/>
  <c r="AH54" i="7" s="1"/>
  <c r="AK54" i="7" s="1"/>
  <c r="AG50" i="7"/>
  <c r="AH50" i="7" s="1"/>
  <c r="AI50" i="7" s="1"/>
  <c r="AG46" i="7"/>
  <c r="AG53" i="7"/>
  <c r="AH53" i="7" s="1"/>
  <c r="AG49" i="7"/>
  <c r="AH49" i="7" s="1"/>
  <c r="AG45" i="7"/>
  <c r="AH47" i="7"/>
  <c r="AG56" i="7"/>
  <c r="AH56" i="7" s="1"/>
  <c r="AG52" i="7"/>
  <c r="AH52" i="7" s="1"/>
  <c r="AG48" i="7"/>
  <c r="AH48" i="7" s="1"/>
  <c r="AG44" i="7"/>
  <c r="J80" i="5"/>
  <c r="J108" i="5" l="1"/>
  <c r="J94" i="5"/>
  <c r="J106" i="5"/>
  <c r="L106" i="5" s="1"/>
  <c r="J107" i="5"/>
  <c r="M107" i="5" s="1"/>
  <c r="J82" i="5"/>
  <c r="M82" i="5" s="1"/>
  <c r="H106" i="5"/>
  <c r="G106" i="5"/>
  <c r="I106" i="5"/>
  <c r="F79" i="5"/>
  <c r="I79" i="5" s="1"/>
  <c r="J81" i="5"/>
  <c r="K81" i="5" s="1"/>
  <c r="J95" i="5"/>
  <c r="K95" i="5" s="1"/>
  <c r="J110" i="5"/>
  <c r="L110" i="5" s="1"/>
  <c r="F93" i="5"/>
  <c r="G93" i="5" s="1"/>
  <c r="AH63" i="7"/>
  <c r="AJ63" i="7" s="1"/>
  <c r="AL61" i="7"/>
  <c r="AN61" i="7" s="1"/>
  <c r="AL102" i="7"/>
  <c r="AN102" i="7" s="1"/>
  <c r="AL105" i="7"/>
  <c r="AN105" i="7" s="1"/>
  <c r="AH65" i="7"/>
  <c r="AK65" i="7" s="1"/>
  <c r="AH101" i="7"/>
  <c r="AJ101" i="7" s="1"/>
  <c r="AL78" i="7"/>
  <c r="AO78" i="7" s="1"/>
  <c r="AO65" i="7"/>
  <c r="AM65" i="7"/>
  <c r="AN65" i="7"/>
  <c r="AL88" i="7"/>
  <c r="AH97" i="7"/>
  <c r="AI97" i="7" s="1"/>
  <c r="AH46" i="7"/>
  <c r="AJ46" i="7" s="1"/>
  <c r="AL80" i="7"/>
  <c r="AN80" i="7" s="1"/>
  <c r="AH87" i="7"/>
  <c r="AJ87" i="7" s="1"/>
  <c r="AL106" i="7"/>
  <c r="AO106" i="7" s="1"/>
  <c r="AH81" i="7"/>
  <c r="AJ81" i="7" s="1"/>
  <c r="AH84" i="7"/>
  <c r="AK84" i="7" s="1"/>
  <c r="AH109" i="7"/>
  <c r="AK109" i="7" s="1"/>
  <c r="AL98" i="7"/>
  <c r="AN98" i="7" s="1"/>
  <c r="AN110" i="7"/>
  <c r="AM110" i="7"/>
  <c r="AO110" i="7"/>
  <c r="G78" i="5"/>
  <c r="I78" i="5"/>
  <c r="H78" i="5"/>
  <c r="I82" i="5"/>
  <c r="H82" i="5"/>
  <c r="G82" i="5"/>
  <c r="I94" i="5"/>
  <c r="H94" i="5"/>
  <c r="G94" i="5"/>
  <c r="I107" i="5"/>
  <c r="H107" i="5"/>
  <c r="G107" i="5"/>
  <c r="AN87" i="7"/>
  <c r="AM87" i="7"/>
  <c r="AO87" i="7"/>
  <c r="H91" i="5"/>
  <c r="I91" i="5"/>
  <c r="G91" i="5"/>
  <c r="H95" i="5"/>
  <c r="G95" i="5"/>
  <c r="I95" i="5"/>
  <c r="I108" i="5"/>
  <c r="H108" i="5"/>
  <c r="G108" i="5"/>
  <c r="AN107" i="7"/>
  <c r="AO107" i="7"/>
  <c r="AM107" i="7"/>
  <c r="H80" i="5"/>
  <c r="I80" i="5"/>
  <c r="G80" i="5"/>
  <c r="H92" i="5"/>
  <c r="G92" i="5"/>
  <c r="I92" i="5"/>
  <c r="G105" i="5"/>
  <c r="I105" i="5"/>
  <c r="H105" i="5"/>
  <c r="AN64" i="7"/>
  <c r="AM64" i="7"/>
  <c r="AO64" i="7"/>
  <c r="G81" i="5"/>
  <c r="H81" i="5"/>
  <c r="I81" i="5"/>
  <c r="H110" i="5"/>
  <c r="G110" i="5"/>
  <c r="I110" i="5"/>
  <c r="AH44" i="7"/>
  <c r="AK44" i="7" s="1"/>
  <c r="AL44" i="7"/>
  <c r="AH85" i="7"/>
  <c r="AK85" i="7" s="1"/>
  <c r="AL85" i="7"/>
  <c r="AN109" i="7"/>
  <c r="AM109" i="7"/>
  <c r="AO109" i="7"/>
  <c r="F109" i="5"/>
  <c r="J92" i="5"/>
  <c r="L92" i="5" s="1"/>
  <c r="AK105" i="7"/>
  <c r="AJ105" i="7"/>
  <c r="AN97" i="7"/>
  <c r="AO97" i="7"/>
  <c r="AH104" i="7"/>
  <c r="AI104" i="7" s="1"/>
  <c r="AN108" i="7"/>
  <c r="AM108" i="7"/>
  <c r="AO108" i="7"/>
  <c r="AJ106" i="7"/>
  <c r="AK106" i="7"/>
  <c r="AJ98" i="7"/>
  <c r="AK98" i="7"/>
  <c r="AK102" i="7"/>
  <c r="AJ102" i="7"/>
  <c r="AN86" i="7"/>
  <c r="AO86" i="7"/>
  <c r="AM86" i="7"/>
  <c r="AH107" i="7"/>
  <c r="AI107" i="7" s="1"/>
  <c r="AN96" i="7"/>
  <c r="AO96" i="7"/>
  <c r="AH45" i="7"/>
  <c r="AI45" i="7" s="1"/>
  <c r="AL45" i="7"/>
  <c r="AJ100" i="7"/>
  <c r="AK100" i="7"/>
  <c r="AL99" i="7"/>
  <c r="AO99" i="7" s="1"/>
  <c r="AJ99" i="7"/>
  <c r="AK99" i="7"/>
  <c r="AL60" i="7"/>
  <c r="AO60" i="7" s="1"/>
  <c r="AL41" i="7"/>
  <c r="AM41" i="7" s="1"/>
  <c r="AI41" i="7"/>
  <c r="AJ41" i="7"/>
  <c r="AK41" i="7"/>
  <c r="AO105" i="7"/>
  <c r="AN104" i="7"/>
  <c r="AO104" i="7"/>
  <c r="AO103" i="7"/>
  <c r="AN103" i="7"/>
  <c r="AO101" i="7"/>
  <c r="AN101" i="7"/>
  <c r="AH103" i="7"/>
  <c r="AL100" i="7"/>
  <c r="AH110" i="7"/>
  <c r="AI110" i="7" s="1"/>
  <c r="AH108" i="7"/>
  <c r="AH96" i="7"/>
  <c r="AJ79" i="7"/>
  <c r="AK79" i="7"/>
  <c r="AN84" i="7"/>
  <c r="AO84" i="7"/>
  <c r="AH83" i="7"/>
  <c r="AI83" i="7" s="1"/>
  <c r="AJ80" i="7"/>
  <c r="AK80" i="7"/>
  <c r="AJ91" i="7"/>
  <c r="AK91" i="7"/>
  <c r="AJ90" i="7"/>
  <c r="AK90" i="7"/>
  <c r="AN82" i="7"/>
  <c r="AO82" i="7"/>
  <c r="AK78" i="7"/>
  <c r="AJ78" i="7"/>
  <c r="AJ89" i="7"/>
  <c r="AK89" i="7"/>
  <c r="AN83" i="7"/>
  <c r="AO83" i="7"/>
  <c r="AN81" i="7"/>
  <c r="AO81" i="7"/>
  <c r="AJ92" i="7"/>
  <c r="AK92" i="7"/>
  <c r="AL79" i="7"/>
  <c r="AJ88" i="7"/>
  <c r="AK88" i="7"/>
  <c r="AH86" i="7"/>
  <c r="AH82" i="7"/>
  <c r="AI82" i="7" s="1"/>
  <c r="AJ73" i="7"/>
  <c r="AK73" i="7"/>
  <c r="AJ70" i="7"/>
  <c r="AK70" i="7"/>
  <c r="AJ71" i="7"/>
  <c r="AK71" i="7"/>
  <c r="AK60" i="7"/>
  <c r="AJ60" i="7"/>
  <c r="AJ67" i="7"/>
  <c r="AK67" i="7"/>
  <c r="AH68" i="7"/>
  <c r="AI68" i="7" s="1"/>
  <c r="AN62" i="7"/>
  <c r="AO62" i="7"/>
  <c r="AJ69" i="7"/>
  <c r="AK69" i="7"/>
  <c r="AJ66" i="7"/>
  <c r="AK66" i="7"/>
  <c r="AJ61" i="7"/>
  <c r="AK61" i="7"/>
  <c r="AJ74" i="7"/>
  <c r="AK74" i="7"/>
  <c r="AN63" i="7"/>
  <c r="AO63" i="7"/>
  <c r="AH62" i="7"/>
  <c r="AH72" i="7"/>
  <c r="AI72" i="7" s="1"/>
  <c r="AH64" i="7"/>
  <c r="AI105" i="7"/>
  <c r="AM104" i="7"/>
  <c r="AI106" i="7"/>
  <c r="AI99" i="7"/>
  <c r="AM97" i="7"/>
  <c r="AI102" i="7"/>
  <c r="AM101" i="7"/>
  <c r="AI100" i="7"/>
  <c r="AI98" i="7"/>
  <c r="AM103" i="7"/>
  <c r="AM96" i="7"/>
  <c r="AI78" i="7"/>
  <c r="AI80" i="7"/>
  <c r="AI90" i="7"/>
  <c r="AI89" i="7"/>
  <c r="AM81" i="7"/>
  <c r="AI88" i="7"/>
  <c r="AI79" i="7"/>
  <c r="AI91" i="7"/>
  <c r="AM83" i="7"/>
  <c r="AI92" i="7"/>
  <c r="AM84" i="7"/>
  <c r="AM82" i="7"/>
  <c r="AI74" i="7"/>
  <c r="AI71" i="7"/>
  <c r="AI73" i="7"/>
  <c r="AI70" i="7"/>
  <c r="AI67" i="7"/>
  <c r="AI69" i="7"/>
  <c r="AM63" i="7"/>
  <c r="AI61" i="7"/>
  <c r="AI66" i="7"/>
  <c r="AI60" i="7"/>
  <c r="AM62" i="7"/>
  <c r="AK50" i="7"/>
  <c r="AJ50" i="7"/>
  <c r="AH43" i="7"/>
  <c r="AI43" i="7" s="1"/>
  <c r="AI54" i="7"/>
  <c r="AJ54" i="7"/>
  <c r="AJ52" i="7"/>
  <c r="AI52" i="7"/>
  <c r="AK52" i="7"/>
  <c r="AJ49" i="7"/>
  <c r="AI49" i="7"/>
  <c r="AK49" i="7"/>
  <c r="AJ56" i="7"/>
  <c r="AI56" i="7"/>
  <c r="AK56" i="7"/>
  <c r="AJ51" i="7"/>
  <c r="AI51" i="7"/>
  <c r="AK51" i="7"/>
  <c r="AN43" i="7"/>
  <c r="AM43" i="7"/>
  <c r="AO43" i="7"/>
  <c r="AJ53" i="7"/>
  <c r="AI53" i="7"/>
  <c r="AK53" i="7"/>
  <c r="AJ48" i="7"/>
  <c r="AI48" i="7"/>
  <c r="AK48" i="7"/>
  <c r="AJ47" i="7"/>
  <c r="AI47" i="7"/>
  <c r="AK47" i="7"/>
  <c r="AJ55" i="7"/>
  <c r="AI55" i="7"/>
  <c r="AK55" i="7"/>
  <c r="L93" i="5"/>
  <c r="M93" i="5"/>
  <c r="K93" i="5"/>
  <c r="L94" i="5"/>
  <c r="M94" i="5"/>
  <c r="K94" i="5"/>
  <c r="K82" i="5"/>
  <c r="L109" i="5"/>
  <c r="M109" i="5"/>
  <c r="K109" i="5"/>
  <c r="L80" i="5"/>
  <c r="M80" i="5"/>
  <c r="K80" i="5"/>
  <c r="M81" i="5"/>
  <c r="L108" i="5"/>
  <c r="K108" i="5"/>
  <c r="M108" i="5"/>
  <c r="L79" i="5"/>
  <c r="M79" i="5"/>
  <c r="K79" i="5"/>
  <c r="K106" i="5"/>
  <c r="M106" i="5"/>
  <c r="C42" i="9"/>
  <c r="C41" i="9"/>
  <c r="C37" i="9"/>
  <c r="B35" i="9"/>
  <c r="B44" i="9" s="1"/>
  <c r="B29" i="9"/>
  <c r="C7" i="9"/>
  <c r="C9" i="9"/>
  <c r="C14" i="9"/>
  <c r="C13" i="9"/>
  <c r="B7" i="9"/>
  <c r="B16" i="9" s="1"/>
  <c r="C8" i="9"/>
  <c r="K107" i="5" l="1"/>
  <c r="L95" i="5"/>
  <c r="L107" i="5"/>
  <c r="L82" i="5"/>
  <c r="M110" i="5"/>
  <c r="L81" i="5"/>
  <c r="AI63" i="7"/>
  <c r="K92" i="5"/>
  <c r="M95" i="5"/>
  <c r="M92" i="5"/>
  <c r="I93" i="5"/>
  <c r="H93" i="5"/>
  <c r="H79" i="5"/>
  <c r="G79" i="5"/>
  <c r="K110" i="5"/>
  <c r="AO61" i="7"/>
  <c r="AM61" i="7"/>
  <c r="AI46" i="7"/>
  <c r="AK63" i="7"/>
  <c r="AM105" i="7"/>
  <c r="AO102" i="7"/>
  <c r="AM102" i="7"/>
  <c r="AJ65" i="7"/>
  <c r="AI65" i="7"/>
  <c r="AO98" i="7"/>
  <c r="AM78" i="7"/>
  <c r="AO80" i="7"/>
  <c r="AN78" i="7"/>
  <c r="AK81" i="7"/>
  <c r="AK101" i="7"/>
  <c r="AJ109" i="7"/>
  <c r="AM106" i="7"/>
  <c r="AI109" i="7"/>
  <c r="AJ97" i="7"/>
  <c r="AN106" i="7"/>
  <c r="AK97" i="7"/>
  <c r="AI44" i="7"/>
  <c r="AI101" i="7"/>
  <c r="AM98" i="7"/>
  <c r="AK87" i="7"/>
  <c r="AN88" i="7"/>
  <c r="AM88" i="7"/>
  <c r="AO88" i="7"/>
  <c r="AJ84" i="7"/>
  <c r="AK46" i="7"/>
  <c r="AM80" i="7"/>
  <c r="AI87" i="7"/>
  <c r="AM60" i="7"/>
  <c r="AI84" i="7"/>
  <c r="AJ44" i="7"/>
  <c r="AI81" i="7"/>
  <c r="AJ96" i="7"/>
  <c r="AK96" i="7"/>
  <c r="AJ43" i="7"/>
  <c r="AJ45" i="7"/>
  <c r="AI85" i="7"/>
  <c r="AM99" i="7"/>
  <c r="AJ85" i="7"/>
  <c r="AO41" i="7"/>
  <c r="AK107" i="7"/>
  <c r="AJ107" i="7"/>
  <c r="AJ104" i="7"/>
  <c r="AK104" i="7"/>
  <c r="H109" i="5"/>
  <c r="G109" i="5"/>
  <c r="I109" i="5"/>
  <c r="AN85" i="7"/>
  <c r="AO85" i="7"/>
  <c r="AM85" i="7"/>
  <c r="AK108" i="7"/>
  <c r="AJ108" i="7"/>
  <c r="AN99" i="7"/>
  <c r="AM44" i="7"/>
  <c r="AO44" i="7"/>
  <c r="AN44" i="7"/>
  <c r="AK103" i="7"/>
  <c r="AJ103" i="7"/>
  <c r="AI96" i="7"/>
  <c r="AK43" i="7"/>
  <c r="AK45" i="7"/>
  <c r="AI103" i="7"/>
  <c r="AJ110" i="7"/>
  <c r="AK110" i="7"/>
  <c r="AN45" i="7"/>
  <c r="AM45" i="7"/>
  <c r="AO45" i="7"/>
  <c r="AN60" i="7"/>
  <c r="AN41" i="7"/>
  <c r="AM100" i="7"/>
  <c r="AN100" i="7"/>
  <c r="AO100" i="7"/>
  <c r="AI108" i="7"/>
  <c r="AI86" i="7"/>
  <c r="AJ86" i="7"/>
  <c r="AK86" i="7"/>
  <c r="AN79" i="7"/>
  <c r="AO79" i="7"/>
  <c r="AJ83" i="7"/>
  <c r="AK83" i="7"/>
  <c r="AM79" i="7"/>
  <c r="AJ82" i="7"/>
  <c r="AK82" i="7"/>
  <c r="AJ62" i="7"/>
  <c r="AK62" i="7"/>
  <c r="AI64" i="7"/>
  <c r="AJ64" i="7"/>
  <c r="AK64" i="7"/>
  <c r="AJ72" i="7"/>
  <c r="AK72" i="7"/>
  <c r="AI62" i="7"/>
  <c r="AJ68" i="7"/>
  <c r="AK68" i="7"/>
  <c r="B36" i="9"/>
  <c r="B37" i="9" s="1"/>
  <c r="B38" i="9" s="1"/>
  <c r="B8" i="9"/>
  <c r="N181" i="7"/>
  <c r="N180" i="7"/>
  <c r="B48" i="9" l="1"/>
  <c r="B46" i="9"/>
  <c r="B45" i="9"/>
  <c r="B47" i="9"/>
  <c r="B9" i="9"/>
  <c r="B19" i="9" s="1"/>
  <c r="B18" i="9"/>
  <c r="B17" i="9"/>
  <c r="N175" i="7"/>
  <c r="N174" i="7"/>
  <c r="O84" i="7"/>
  <c r="O85" i="7"/>
  <c r="O86" i="7"/>
  <c r="O75" i="7"/>
  <c r="O76" i="7"/>
  <c r="O77" i="7"/>
  <c r="O66" i="7"/>
  <c r="O67" i="7"/>
  <c r="O68" i="7"/>
  <c r="O57" i="7"/>
  <c r="O58" i="7"/>
  <c r="O59" i="7"/>
  <c r="S50" i="7"/>
  <c r="O83" i="7"/>
  <c r="O74" i="7"/>
  <c r="O65" i="7"/>
  <c r="O56" i="7"/>
  <c r="S49" i="7"/>
  <c r="S48" i="7"/>
  <c r="S47" i="7"/>
  <c r="S46" i="7"/>
  <c r="S45" i="7"/>
  <c r="S44" i="7"/>
  <c r="O40" i="7"/>
  <c r="S39" i="7"/>
  <c r="U39" i="7"/>
  <c r="O39" i="7"/>
  <c r="S38" i="7"/>
  <c r="U38" i="7"/>
  <c r="S37" i="7"/>
  <c r="U37" i="7"/>
  <c r="S36" i="7"/>
  <c r="U36" i="7"/>
  <c r="G39" i="7"/>
  <c r="E48" i="7"/>
  <c r="E49" i="7"/>
  <c r="A53" i="7"/>
  <c r="E44" i="7"/>
  <c r="E45" i="7"/>
  <c r="E46" i="7"/>
  <c r="E47" i="7"/>
  <c r="Z113" i="7" l="1"/>
  <c r="Z115" i="7"/>
  <c r="Z117" i="7"/>
  <c r="W110" i="7"/>
  <c r="W112" i="7"/>
  <c r="W114" i="7"/>
  <c r="W116" i="7"/>
  <c r="S106" i="7"/>
  <c r="S108" i="7"/>
  <c r="S110" i="7"/>
  <c r="S112" i="7"/>
  <c r="S114" i="7"/>
  <c r="S116" i="7"/>
  <c r="P105" i="7"/>
  <c r="P107" i="7"/>
  <c r="P109" i="7"/>
  <c r="P111" i="7"/>
  <c r="P113" i="7"/>
  <c r="P115" i="7"/>
  <c r="P117" i="7"/>
  <c r="AA113" i="7"/>
  <c r="AA115" i="7"/>
  <c r="AA117" i="7"/>
  <c r="X114" i="7"/>
  <c r="X116" i="7"/>
  <c r="T108" i="7"/>
  <c r="T114" i="7"/>
  <c r="Q105" i="7"/>
  <c r="Q109" i="7"/>
  <c r="Q113" i="7"/>
  <c r="Z114" i="7"/>
  <c r="W111" i="7"/>
  <c r="W115" i="7"/>
  <c r="S109" i="7"/>
  <c r="S115" i="7"/>
  <c r="S117" i="7"/>
  <c r="P110" i="7"/>
  <c r="P116" i="7"/>
  <c r="X110" i="7"/>
  <c r="T110" i="7"/>
  <c r="Q107" i="7"/>
  <c r="Q115" i="7"/>
  <c r="W109" i="7"/>
  <c r="W117" i="7"/>
  <c r="S111" i="7"/>
  <c r="P108" i="7"/>
  <c r="P114" i="7"/>
  <c r="AA114" i="7"/>
  <c r="AA116" i="7"/>
  <c r="X109" i="7"/>
  <c r="X111" i="7"/>
  <c r="X113" i="7"/>
  <c r="X115" i="7"/>
  <c r="X117" i="7"/>
  <c r="T107" i="7"/>
  <c r="T109" i="7"/>
  <c r="T111" i="7"/>
  <c r="T113" i="7"/>
  <c r="T115" i="7"/>
  <c r="T117" i="7"/>
  <c r="Q106" i="7"/>
  <c r="Q108" i="7"/>
  <c r="Q110" i="7"/>
  <c r="Q112" i="7"/>
  <c r="Q114" i="7"/>
  <c r="Q116" i="7"/>
  <c r="X112" i="7"/>
  <c r="T106" i="7"/>
  <c r="T112" i="7"/>
  <c r="T116" i="7"/>
  <c r="Q111" i="7"/>
  <c r="Q117" i="7"/>
  <c r="Z116" i="7"/>
  <c r="W113" i="7"/>
  <c r="S107" i="7"/>
  <c r="S113" i="7"/>
  <c r="P106" i="7"/>
  <c r="P112" i="7"/>
  <c r="B49" i="9"/>
  <c r="B39" i="9"/>
  <c r="B20" i="9"/>
  <c r="B10" i="9"/>
  <c r="B11" i="9" s="1"/>
  <c r="P49" i="7"/>
  <c r="P46" i="7"/>
  <c r="R46" i="7" s="1"/>
  <c r="P50" i="7"/>
  <c r="P47" i="7"/>
  <c r="P74" i="7" s="1"/>
  <c r="P44" i="7"/>
  <c r="R44" i="7" s="1"/>
  <c r="P48" i="7"/>
  <c r="P45" i="7"/>
  <c r="R45" i="7" s="1"/>
  <c r="AA106" i="7"/>
  <c r="AA108" i="7"/>
  <c r="AA110" i="7"/>
  <c r="X104" i="7"/>
  <c r="X106" i="7"/>
  <c r="Q103" i="7"/>
  <c r="Q104" i="7"/>
  <c r="Z109" i="7"/>
  <c r="W105" i="7"/>
  <c r="Z112" i="7"/>
  <c r="AA105" i="7"/>
  <c r="AA107" i="7"/>
  <c r="AA109" i="7"/>
  <c r="AA111" i="7"/>
  <c r="X105" i="7"/>
  <c r="X107" i="7"/>
  <c r="T104" i="7"/>
  <c r="AA112" i="7"/>
  <c r="T105" i="7"/>
  <c r="Z106" i="7"/>
  <c r="Z108" i="7"/>
  <c r="Z110" i="7"/>
  <c r="W104" i="7"/>
  <c r="W106" i="7"/>
  <c r="S103" i="7"/>
  <c r="P103" i="7"/>
  <c r="W108" i="7"/>
  <c r="P104" i="7"/>
  <c r="T103" i="7"/>
  <c r="X108" i="7"/>
  <c r="Z105" i="7"/>
  <c r="Z107" i="7"/>
  <c r="Z111" i="7"/>
  <c r="W107" i="7"/>
  <c r="S104" i="7"/>
  <c r="S105" i="7"/>
  <c r="A62" i="7"/>
  <c r="A71" i="7"/>
  <c r="A80" i="7"/>
  <c r="A63" i="7"/>
  <c r="A72" i="7"/>
  <c r="A81" i="7"/>
  <c r="A64" i="7"/>
  <c r="A73" i="7"/>
  <c r="A82" i="7"/>
  <c r="A65" i="7"/>
  <c r="A74" i="7"/>
  <c r="A83" i="7"/>
  <c r="A54" i="7"/>
  <c r="A55" i="7"/>
  <c r="A56" i="7"/>
  <c r="E39" i="7"/>
  <c r="B103" i="7" s="1"/>
  <c r="E38" i="7"/>
  <c r="G38" i="7"/>
  <c r="E37" i="7"/>
  <c r="G37" i="7"/>
  <c r="G36" i="7"/>
  <c r="E36" i="7"/>
  <c r="A40" i="7"/>
  <c r="A39" i="7"/>
  <c r="B22" i="9" l="1"/>
  <c r="B25" i="9"/>
  <c r="B50" i="9"/>
  <c r="B52" i="9" s="1"/>
  <c r="B53" i="9"/>
  <c r="B21" i="9"/>
  <c r="B24" i="9" s="1"/>
  <c r="R47" i="7"/>
  <c r="P83" i="7"/>
  <c r="P77" i="7"/>
  <c r="P59" i="7"/>
  <c r="R50" i="7"/>
  <c r="P86" i="7"/>
  <c r="P68" i="7"/>
  <c r="P56" i="7"/>
  <c r="P75" i="7"/>
  <c r="P57" i="7"/>
  <c r="P84" i="7"/>
  <c r="P66" i="7"/>
  <c r="R48" i="7"/>
  <c r="P65" i="7"/>
  <c r="P85" i="7"/>
  <c r="P67" i="7"/>
  <c r="R49" i="7"/>
  <c r="P76" i="7"/>
  <c r="P58" i="7"/>
  <c r="E111" i="7"/>
  <c r="B107" i="7"/>
  <c r="F111" i="7"/>
  <c r="C103" i="7"/>
  <c r="C107" i="7"/>
  <c r="L115" i="7"/>
  <c r="J113" i="7"/>
  <c r="M114" i="7"/>
  <c r="J115" i="7"/>
  <c r="M116" i="7"/>
  <c r="J117" i="7"/>
  <c r="L113" i="7"/>
  <c r="I114" i="7"/>
  <c r="I116" i="7"/>
  <c r="L117" i="7"/>
  <c r="M113" i="7"/>
  <c r="J114" i="7"/>
  <c r="M115" i="7"/>
  <c r="J116" i="7"/>
  <c r="M117" i="7"/>
  <c r="I113" i="7"/>
  <c r="L114" i="7"/>
  <c r="I115" i="7"/>
  <c r="L116" i="7"/>
  <c r="I117" i="7"/>
  <c r="B49" i="7"/>
  <c r="D49" i="7" s="1"/>
  <c r="B48" i="7"/>
  <c r="D48" i="7" s="1"/>
  <c r="E106" i="7"/>
  <c r="B105" i="7"/>
  <c r="J109" i="7"/>
  <c r="J111" i="7"/>
  <c r="F106" i="7"/>
  <c r="F108" i="7"/>
  <c r="F110" i="7"/>
  <c r="C105" i="7"/>
  <c r="M112" i="7"/>
  <c r="I108" i="7"/>
  <c r="I110" i="7"/>
  <c r="I112" i="7"/>
  <c r="E105" i="7"/>
  <c r="E107" i="7"/>
  <c r="E109" i="7"/>
  <c r="B104" i="7"/>
  <c r="B106" i="7"/>
  <c r="J108" i="7"/>
  <c r="J110" i="7"/>
  <c r="J112" i="7"/>
  <c r="F105" i="7"/>
  <c r="F107" i="7"/>
  <c r="F109" i="7"/>
  <c r="C104" i="7"/>
  <c r="C106" i="7"/>
  <c r="I109" i="7"/>
  <c r="I111" i="7"/>
  <c r="E108" i="7"/>
  <c r="E110" i="7"/>
  <c r="L112" i="7"/>
  <c r="B47" i="7"/>
  <c r="B74" i="7" s="1"/>
  <c r="B44" i="7"/>
  <c r="B45" i="7"/>
  <c r="D45" i="7" s="1"/>
  <c r="B46" i="7"/>
  <c r="D46" i="7" s="1"/>
  <c r="D13" i="7"/>
  <c r="D12" i="7"/>
  <c r="D7" i="7"/>
  <c r="D6" i="7"/>
  <c r="D44" i="7" l="1"/>
  <c r="B53" i="7"/>
  <c r="B83" i="7"/>
  <c r="B56" i="7"/>
  <c r="D47" i="7"/>
  <c r="B65" i="7"/>
  <c r="B55" i="7"/>
  <c r="B73" i="7"/>
  <c r="B64" i="7"/>
  <c r="B82" i="7"/>
  <c r="B62" i="7"/>
  <c r="B80" i="7"/>
  <c r="B71" i="7"/>
  <c r="B54" i="7"/>
  <c r="B72" i="7"/>
  <c r="B63" i="7"/>
  <c r="B81" i="7"/>
  <c r="C8" i="6"/>
  <c r="C11" i="6"/>
  <c r="C10" i="6"/>
  <c r="C9" i="6"/>
  <c r="G22" i="5"/>
  <c r="G21" i="5"/>
  <c r="C78" i="1" l="1"/>
  <c r="C70" i="1"/>
  <c r="C71" i="1"/>
  <c r="C72" i="1"/>
  <c r="C73" i="1"/>
  <c r="C74" i="1"/>
  <c r="C75" i="1"/>
  <c r="C76" i="1"/>
  <c r="C77" i="1"/>
  <c r="C69" i="1"/>
  <c r="G72" i="1" l="1"/>
  <c r="B106" i="1" s="1"/>
  <c r="B127" i="1" s="1"/>
  <c r="B121" i="1"/>
  <c r="B131" i="1"/>
  <c r="C24" i="4"/>
  <c r="C34" i="3"/>
  <c r="C35" i="3" s="1"/>
  <c r="D34" i="3"/>
  <c r="D35" i="3" s="1"/>
  <c r="E34" i="3"/>
  <c r="E35" i="3" s="1"/>
  <c r="F34" i="3"/>
  <c r="F35" i="3" s="1"/>
  <c r="B34" i="3"/>
  <c r="B35" i="3" s="1"/>
  <c r="B120" i="1" l="1"/>
  <c r="B129" i="1"/>
  <c r="B126" i="1"/>
  <c r="B112" i="1"/>
  <c r="B110" i="1"/>
  <c r="B114" i="1"/>
  <c r="B124" i="1"/>
  <c r="B128" i="1"/>
  <c r="B111" i="1"/>
  <c r="B130" i="1"/>
  <c r="B109" i="1"/>
  <c r="B118" i="1"/>
  <c r="B122" i="1"/>
  <c r="B119" i="1"/>
  <c r="B115" i="1"/>
  <c r="B125" i="1"/>
  <c r="B116" i="1"/>
  <c r="B113" i="1"/>
  <c r="B117" i="1"/>
  <c r="B123" i="1"/>
  <c r="C23" i="4"/>
  <c r="C22" i="4"/>
  <c r="C21" i="4"/>
  <c r="F33" i="3"/>
  <c r="F36" i="3"/>
  <c r="E33" i="3"/>
  <c r="E36" i="3"/>
  <c r="D33" i="3"/>
  <c r="D36" i="3"/>
  <c r="C33" i="3"/>
  <c r="B33" i="3"/>
  <c r="C36" i="3"/>
  <c r="B36" i="3"/>
  <c r="B39" i="3" s="1"/>
  <c r="B37" i="3" l="1"/>
  <c r="E38" i="3"/>
  <c r="E39" i="3"/>
  <c r="C37" i="3"/>
  <c r="C39" i="3"/>
  <c r="B38" i="3"/>
  <c r="D38" i="3"/>
  <c r="D39" i="3"/>
  <c r="F38" i="3"/>
  <c r="F39" i="3"/>
  <c r="F37" i="3"/>
  <c r="E37" i="3"/>
  <c r="D37" i="3"/>
  <c r="C38" i="3"/>
  <c r="A39" i="1" l="1"/>
  <c r="A40" i="1"/>
  <c r="A41" i="1"/>
  <c r="A42" i="1"/>
  <c r="A43" i="1"/>
  <c r="A44" i="1"/>
  <c r="A45" i="1"/>
  <c r="A46" i="1"/>
  <c r="A47" i="1"/>
  <c r="A48" i="1"/>
  <c r="A49" i="1"/>
  <c r="A50" i="1"/>
  <c r="A51" i="1"/>
  <c r="A52" i="1"/>
  <c r="A53" i="1"/>
  <c r="A54" i="1"/>
  <c r="A55" i="1"/>
  <c r="A56" i="1"/>
  <c r="A57" i="1"/>
  <c r="A58" i="1"/>
  <c r="A59" i="1"/>
  <c r="A60" i="1"/>
  <c r="A38" i="1"/>
  <c r="C38" i="1"/>
  <c r="E39" i="1"/>
  <c r="E40" i="1"/>
  <c r="E41" i="1"/>
  <c r="E42" i="1"/>
  <c r="E43" i="1"/>
  <c r="E44" i="1"/>
  <c r="E45" i="1"/>
  <c r="E46" i="1"/>
  <c r="E47" i="1"/>
  <c r="E48" i="1"/>
  <c r="E49" i="1"/>
  <c r="E50" i="1"/>
  <c r="E51" i="1"/>
  <c r="E52" i="1"/>
  <c r="E53" i="1"/>
  <c r="E54" i="1"/>
  <c r="E55" i="1"/>
  <c r="E56" i="1"/>
  <c r="E57" i="1"/>
  <c r="E58" i="1"/>
  <c r="E59" i="1"/>
  <c r="E60" i="1"/>
  <c r="E38" i="1"/>
  <c r="C39" i="1"/>
  <c r="C40" i="1"/>
  <c r="C41" i="1"/>
  <c r="C42" i="1"/>
  <c r="C43" i="1"/>
  <c r="C44" i="1"/>
  <c r="C45" i="1"/>
  <c r="C46" i="1"/>
  <c r="C47" i="1"/>
  <c r="C48" i="1"/>
  <c r="C49" i="1"/>
  <c r="C50" i="1"/>
  <c r="C51" i="1"/>
  <c r="C52" i="1"/>
  <c r="C53" i="1"/>
  <c r="C54" i="1"/>
  <c r="C55" i="1"/>
  <c r="C56" i="1"/>
  <c r="C57" i="1"/>
  <c r="C58" i="1"/>
  <c r="C59" i="1"/>
  <c r="C60" i="1"/>
  <c r="B9" i="1"/>
  <c r="F39" i="1" s="1"/>
  <c r="B10" i="1"/>
  <c r="F40" i="1" s="1"/>
  <c r="B11" i="1"/>
  <c r="F41" i="1" s="1"/>
  <c r="B12" i="1"/>
  <c r="F42" i="1" s="1"/>
  <c r="B13" i="1"/>
  <c r="F43" i="1" s="1"/>
  <c r="B14" i="1"/>
  <c r="F44" i="1" s="1"/>
  <c r="B15" i="1"/>
  <c r="F45" i="1" s="1"/>
  <c r="B16" i="1"/>
  <c r="F46" i="1" s="1"/>
  <c r="B17" i="1"/>
  <c r="F47" i="1" s="1"/>
  <c r="B18" i="1"/>
  <c r="F48" i="1" s="1"/>
  <c r="B19" i="1"/>
  <c r="F49" i="1" s="1"/>
  <c r="B20" i="1"/>
  <c r="F50" i="1" s="1"/>
  <c r="B21" i="1"/>
  <c r="F51" i="1" s="1"/>
  <c r="B22" i="1"/>
  <c r="F52" i="1" s="1"/>
  <c r="B23" i="1"/>
  <c r="F53" i="1" s="1"/>
  <c r="B24" i="1"/>
  <c r="F54" i="1" s="1"/>
  <c r="B25" i="1"/>
  <c r="F55" i="1" s="1"/>
  <c r="B26" i="1"/>
  <c r="F56" i="1" s="1"/>
  <c r="B27" i="1"/>
  <c r="F57" i="1" s="1"/>
  <c r="B28" i="1"/>
  <c r="F58" i="1" s="1"/>
  <c r="B29" i="1"/>
  <c r="F59" i="1" s="1"/>
  <c r="B30" i="1"/>
  <c r="F60" i="1" s="1"/>
  <c r="B8" i="1"/>
  <c r="D38" i="1" s="1"/>
  <c r="D52" i="1" l="1"/>
  <c r="B38" i="1"/>
  <c r="B39" i="1"/>
  <c r="B55" i="1"/>
  <c r="B51" i="1"/>
  <c r="D44" i="1"/>
  <c r="B47" i="1"/>
  <c r="D60" i="1"/>
  <c r="B59" i="1"/>
  <c r="B43" i="1"/>
  <c r="D50" i="1"/>
  <c r="B49" i="1"/>
  <c r="B45" i="1"/>
  <c r="B41" i="1"/>
  <c r="D54" i="1"/>
  <c r="D46" i="1"/>
  <c r="B60" i="1"/>
  <c r="B58" i="1"/>
  <c r="B56" i="1"/>
  <c r="B54" i="1"/>
  <c r="B52" i="1"/>
  <c r="B50" i="1"/>
  <c r="B48" i="1"/>
  <c r="B46" i="1"/>
  <c r="B44" i="1"/>
  <c r="B42" i="1"/>
  <c r="B40" i="1"/>
  <c r="D58" i="1"/>
  <c r="D42" i="1"/>
  <c r="B57" i="1"/>
  <c r="B53" i="1"/>
  <c r="D56" i="1"/>
  <c r="D48" i="1"/>
  <c r="D40" i="1"/>
  <c r="F38" i="1"/>
  <c r="D57" i="1"/>
  <c r="D53" i="1"/>
  <c r="D49" i="1"/>
  <c r="D45" i="1"/>
  <c r="D41" i="1"/>
  <c r="D59" i="1"/>
  <c r="D55" i="1"/>
  <c r="D51" i="1"/>
  <c r="D47" i="1"/>
  <c r="D43" i="1"/>
  <c r="D39" i="1"/>
  <c r="AG42" i="7"/>
  <c r="AL42" i="7" l="1"/>
  <c r="AH42" i="7"/>
  <c r="AJ42" i="7" l="1"/>
  <c r="AI42" i="7"/>
  <c r="AK42" i="7"/>
  <c r="AN42" i="7"/>
  <c r="AO42" i="7"/>
  <c r="AM42" i="7"/>
</calcChain>
</file>

<file path=xl/sharedStrings.xml><?xml version="1.0" encoding="utf-8"?>
<sst xmlns="http://schemas.openxmlformats.org/spreadsheetml/2006/main" count="932" uniqueCount="522">
  <si>
    <t>A:</t>
  </si>
  <si>
    <t>B:</t>
  </si>
  <si>
    <t>C:</t>
  </si>
  <si>
    <r>
      <t>Hs/</t>
    </r>
    <r>
      <rPr>
        <sz val="11"/>
        <color theme="1"/>
        <rFont val="Calibri"/>
        <family val="2"/>
      </rPr>
      <t>ΔD50</t>
    </r>
  </si>
  <si>
    <r>
      <t>Rc/</t>
    </r>
    <r>
      <rPr>
        <sz val="11"/>
        <color theme="1"/>
        <rFont val="Calibri"/>
        <family val="2"/>
      </rPr>
      <t>D50</t>
    </r>
  </si>
  <si>
    <t>Δ:</t>
  </si>
  <si>
    <t>D50 (m):</t>
  </si>
  <si>
    <t>Hs (m)</t>
  </si>
  <si>
    <t>Rc (m)</t>
  </si>
  <si>
    <t>D:</t>
  </si>
  <si>
    <r>
      <t>Rc/</t>
    </r>
    <r>
      <rPr>
        <b/>
        <sz val="11"/>
        <color theme="1"/>
        <rFont val="Calibri"/>
        <family val="2"/>
      </rPr>
      <t>D50</t>
    </r>
  </si>
  <si>
    <r>
      <t>h/</t>
    </r>
    <r>
      <rPr>
        <b/>
        <sz val="11"/>
        <color theme="1"/>
        <rFont val="Calibri"/>
        <family val="2"/>
      </rPr>
      <t>ΔD50</t>
    </r>
  </si>
  <si>
    <t>h/ΔD50</t>
  </si>
  <si>
    <t>Rc/D50</t>
  </si>
  <si>
    <t>slope:</t>
  </si>
  <si>
    <t>constant:</t>
  </si>
  <si>
    <t>water level</t>
  </si>
  <si>
    <t>D. Foster, Model simulation of damage to Rosslyn Bay breakwater during cyclone "David", 1977</t>
  </si>
  <si>
    <t xml:space="preserve">Hence: </t>
  </si>
  <si>
    <r>
      <t>Rc/</t>
    </r>
    <r>
      <rPr>
        <sz val="11"/>
        <color theme="1"/>
        <rFont val="Calibri"/>
        <family val="2"/>
      </rPr>
      <t xml:space="preserve">D50 = </t>
    </r>
  </si>
  <si>
    <r>
      <t>Hs/</t>
    </r>
    <r>
      <rPr>
        <sz val="11"/>
        <color theme="1"/>
        <rFont val="Calibri"/>
        <family val="2"/>
      </rPr>
      <t>ΔD50 =</t>
    </r>
  </si>
  <si>
    <t>Rc/D50 = -2.01 to +2.41</t>
  </si>
  <si>
    <r>
      <t>h/</t>
    </r>
    <r>
      <rPr>
        <sz val="11"/>
        <color theme="1"/>
        <rFont val="Calibri"/>
        <family val="2"/>
      </rPr>
      <t>ΔD50 =</t>
    </r>
  </si>
  <si>
    <t>subset</t>
  </si>
  <si>
    <t>test</t>
  </si>
  <si>
    <t>type</t>
  </si>
  <si>
    <t>file</t>
  </si>
  <si>
    <t>density</t>
  </si>
  <si>
    <t>BW area</t>
  </si>
  <si>
    <t>h (cm)</t>
  </si>
  <si>
    <t>Hs (cm)</t>
  </si>
  <si>
    <t>W50 (g)</t>
  </si>
  <si>
    <t>Tp (s)</t>
  </si>
  <si>
    <t>Hs tr (m)</t>
  </si>
  <si>
    <t>Kt</t>
  </si>
  <si>
    <t>calc Hs tr</t>
  </si>
  <si>
    <t>d (cm)</t>
  </si>
  <si>
    <t>d + Rc (cm)</t>
  </si>
  <si>
    <t>Sd (cm2)</t>
  </si>
  <si>
    <t>Rc (cm)</t>
  </si>
  <si>
    <t>D50 (cm)</t>
  </si>
  <si>
    <t>J. Ahrens, Characteristics of reef breakwaters, 1987</t>
  </si>
  <si>
    <t>One test was continued for a long time until near equilibrium damage was reached:</t>
  </si>
  <si>
    <t>Only the test with max wave height for each of the 9 subsets of data:</t>
  </si>
  <si>
    <t>Hs/h</t>
  </si>
  <si>
    <t>5 </t>
  </si>
  <si>
    <t>7 </t>
  </si>
  <si>
    <t>9 </t>
  </si>
  <si>
    <t>NB: even subsets have small wave height with no/small damage</t>
  </si>
  <si>
    <t>Hs/ΔD50</t>
  </si>
  <si>
    <t xml:space="preserve">D50 (class B): 500 kg &gt;&gt; D50 (m) = </t>
  </si>
  <si>
    <t xml:space="preserve">Rc: crest at +2.50 m and WL at +5.1 m &gt;&gt; Rc (m) = </t>
  </si>
  <si>
    <t>Hs (m) =</t>
  </si>
  <si>
    <t>Δ =</t>
  </si>
  <si>
    <t>h (m) (max of the tests) =</t>
  </si>
  <si>
    <t>Hs/h =</t>
  </si>
  <si>
    <t>= breaking of 10 s waves ?</t>
  </si>
  <si>
    <t>for initiation of damage, in the ranges:</t>
  </si>
  <si>
    <t>NOT breaking</t>
  </si>
  <si>
    <t>Vidal with fixed Hs/h ratio</t>
  </si>
  <si>
    <t>NB: most damage occurred within first 10-15 minutes &gt;&gt; equilibrium was reached</t>
  </si>
  <si>
    <t>)</t>
  </si>
  <si>
    <t>) from Rock Manual</t>
  </si>
  <si>
    <t>Vidal, C., Losada, M., and Mansard, E. (1995) Stability of Low-Crested Rubble-Mound Breakwater Heads. J. Waterway, Port, Coastal, Ocean Eng., 121(2), 114–122.</t>
  </si>
  <si>
    <r>
      <t>Hs/</t>
    </r>
    <r>
      <rPr>
        <b/>
        <sz val="10"/>
        <color theme="1"/>
        <rFont val="Calibri"/>
        <family val="2"/>
      </rPr>
      <t>ΔD50 = 1.1 to 3.7</t>
    </r>
  </si>
  <si>
    <t>with fixed ratio Hs = D*h:    h/ΔD50 = (A + B*(Rc/D50) + C *(Rc/D50)↑2)/D</t>
  </si>
  <si>
    <r>
      <t>Vidal et al formula, 1995:   Hs/ΔD50 = A + B*(Rc/D50) + C *(Rc/D50)</t>
    </r>
    <r>
      <rPr>
        <b/>
        <sz val="11"/>
        <color theme="1"/>
        <rFont val="Calibri"/>
        <family val="2"/>
      </rPr>
      <t>↑</t>
    </r>
    <r>
      <rPr>
        <b/>
        <sz val="11"/>
        <color theme="1"/>
        <rFont val="Calibri"/>
        <family val="2"/>
        <scheme val="minor"/>
      </rPr>
      <t>2</t>
    </r>
  </si>
  <si>
    <t>NB: Vidal's tests were conducted with NON breaking waves:</t>
  </si>
  <si>
    <t>waves are NOT breaking on the structure</t>
  </si>
  <si>
    <t>not breaking?</t>
  </si>
  <si>
    <r>
      <t>Vidal et al formula, 1995:         Hs/ΔD50 = A + B*(Rc/D50) + C *(Rc/D50)</t>
    </r>
    <r>
      <rPr>
        <b/>
        <sz val="11"/>
        <color theme="1"/>
        <rFont val="Calibri"/>
        <family val="2"/>
      </rPr>
      <t>↑</t>
    </r>
    <r>
      <rPr>
        <b/>
        <sz val="11"/>
        <color theme="1"/>
        <rFont val="Calibri"/>
        <family val="2"/>
        <scheme val="minor"/>
      </rPr>
      <t>2</t>
    </r>
  </si>
  <si>
    <t xml:space="preserve">)          Hs/h = </t>
  </si>
  <si>
    <t xml:space="preserve">with d = h + Rc:   </t>
  </si>
  <si>
    <t xml:space="preserve">For Rc = </t>
  </si>
  <si>
    <t xml:space="preserve">Δ = </t>
  </si>
  <si>
    <t>h is still unstable</t>
  </si>
  <si>
    <t>h is quite stable</t>
  </si>
  <si>
    <t>Thapsus</t>
  </si>
  <si>
    <t xml:space="preserve">Rc/D50 = </t>
  </si>
  <si>
    <t>h/ΔD50 =</t>
  </si>
  <si>
    <t>Hs/ΔD50 =</t>
  </si>
  <si>
    <t xml:space="preserve">Estimated D50 (m) = </t>
  </si>
  <si>
    <t>h (m) =</t>
  </si>
  <si>
    <t xml:space="preserve">Rc (m) = </t>
  </si>
  <si>
    <t xml:space="preserve">Hs (m) = </t>
  </si>
  <si>
    <r>
      <t xml:space="preserve">Burcharth's rule:  </t>
    </r>
    <r>
      <rPr>
        <b/>
        <sz val="11"/>
        <color theme="1"/>
        <rFont val="Calibri"/>
        <family val="2"/>
        <scheme val="minor"/>
      </rPr>
      <t xml:space="preserve"> D50 &gt; 0.29 d</t>
    </r>
    <r>
      <rPr>
        <sz val="11"/>
        <color theme="1"/>
        <rFont val="Calibri"/>
        <family val="2"/>
        <scheme val="minor"/>
      </rPr>
      <t xml:space="preserve">     for Hs/h = 0.6 and Δ = 1.6</t>
    </r>
  </si>
  <si>
    <t>3.45D50 = h + Rc</t>
  </si>
  <si>
    <t>Rc = 3.45D50 - h</t>
  </si>
  <si>
    <t>Rc/D50 = 3.45 - h/D50</t>
  </si>
  <si>
    <t>Rc/D50 = 3.45 - 1.6h/ΔD50</t>
  </si>
  <si>
    <t>Burcharth, H. Stability of low-crested breakwaters in shallow water short crested waves, 2003</t>
  </si>
  <si>
    <r>
      <t xml:space="preserve">Looking for the </t>
    </r>
    <r>
      <rPr>
        <b/>
        <sz val="11"/>
        <color theme="1"/>
        <rFont val="Calibri"/>
        <family val="2"/>
        <scheme val="minor"/>
      </rPr>
      <t>worst condition for stability</t>
    </r>
    <r>
      <rPr>
        <sz val="11"/>
        <color theme="1"/>
        <rFont val="Calibri"/>
        <family val="2"/>
        <scheme val="minor"/>
      </rPr>
      <t xml:space="preserve"> with breaking waves on the BW, he found</t>
    </r>
  </si>
  <si>
    <t>This is thus a fairly conservative approach.</t>
  </si>
  <si>
    <t xml:space="preserve">  0.6h = max breaking wave</t>
  </si>
  <si>
    <t>at Point A</t>
  </si>
  <si>
    <r>
      <t xml:space="preserve">This is limited to the range </t>
    </r>
    <r>
      <rPr>
        <b/>
        <sz val="11"/>
        <color theme="1"/>
        <rFont val="Calibri"/>
        <family val="2"/>
        <scheme val="minor"/>
      </rPr>
      <t>-3 &lt; Rc/D50 &lt; +2</t>
    </r>
  </si>
  <si>
    <t>Rc/h</t>
  </si>
  <si>
    <t>Rc = - 0.50h   &gt;&gt;      Rc/D50 = -0.50Δh/ΔD50</t>
  </si>
  <si>
    <t>Tp (s) =</t>
  </si>
  <si>
    <t>??</t>
  </si>
  <si>
    <t>unknown in long term</t>
  </si>
  <si>
    <t>D50 = 3.3 cm</t>
  </si>
  <si>
    <t>Tests done for:</t>
  </si>
  <si>
    <t>crest width = 3 and 8 D50</t>
  </si>
  <si>
    <t>d = 30 cm</t>
  </si>
  <si>
    <t>lowest crest Rc = - 10 cm  &gt;&gt;  Rc = -0.25h</t>
  </si>
  <si>
    <t>foreshore slope = 1:20</t>
  </si>
  <si>
    <t>Tp (s) = xxxx</t>
  </si>
  <si>
    <t>test duration = 1000 waves</t>
  </si>
  <si>
    <t>Test duration =  1.5 hours  &gt;&gt;  1800 waves</t>
  </si>
  <si>
    <t>d = 26 to 36 cm</t>
  </si>
  <si>
    <t>D50 = 1.8 and 3.1 cm</t>
  </si>
  <si>
    <t>crest width = narrow</t>
  </si>
  <si>
    <t>lowest crest Rc = - 8 cm  &gt;&gt;  Rc = -0.32h</t>
  </si>
  <si>
    <t>Tp (s) = 3.0 to 3.6  &gt;&gt;  Lo = 14 to 20 m</t>
  </si>
  <si>
    <t>d = 38 cm</t>
  </si>
  <si>
    <t xml:space="preserve">Test duration =  long </t>
  </si>
  <si>
    <t>foreshore slope = horizontal ?</t>
  </si>
  <si>
    <t>Kobayashi, N. Deformation of reef breakwater and wave transmission</t>
  </si>
  <si>
    <t>D50 = 2.52 cm</t>
  </si>
  <si>
    <t>d = 16.7 cm</t>
  </si>
  <si>
    <t>crest width = 110 cm &gt;&gt; 44 D50</t>
  </si>
  <si>
    <t>lowest crest Rc = - 5.5 cm  &gt;&gt;  Rc = -0.25h</t>
  </si>
  <si>
    <t>Hs(m) = 16 cm</t>
  </si>
  <si>
    <t>Hs(m) = 14 cm</t>
  </si>
  <si>
    <t>Hs(m) = breaking</t>
  </si>
  <si>
    <t>Hs(m) = 11.5 cm</t>
  </si>
  <si>
    <t>Tp (s) = 2  &gt;&gt;  Lo = 6.25 m</t>
  </si>
  <si>
    <t>foreshore slope = 1:30</t>
  </si>
  <si>
    <t>test duration = 20 hours  &gt;&gt;  36 000 waves</t>
  </si>
  <si>
    <t>slope SL:</t>
  </si>
  <si>
    <t>constant CT:</t>
  </si>
  <si>
    <t>But BIG PROBLEM: D50 vanished as a parameter!</t>
  </si>
  <si>
    <t>Rc/D50 =</t>
  </si>
  <si>
    <t>Rc =</t>
  </si>
  <si>
    <t>D50</t>
  </si>
  <si>
    <t>h/Δ</t>
  </si>
  <si>
    <t xml:space="preserve">Rc/h = </t>
  </si>
  <si>
    <t>/Δ</t>
  </si>
  <si>
    <t>D50/h</t>
  </si>
  <si>
    <t>for Δ = 1.6</t>
  </si>
  <si>
    <t>D50 (m)</t>
  </si>
  <si>
    <t xml:space="preserve">h (m) = </t>
  </si>
  <si>
    <t>h (m)</t>
  </si>
  <si>
    <t xml:space="preserve">D50 (m) = </t>
  </si>
  <si>
    <t>D50 (m)=</t>
  </si>
  <si>
    <t>First rough approach based on straight lines Rc/h = constant</t>
  </si>
  <si>
    <t>&gt;&gt;     Rc/D50 = -0.80 h/ΔD50      for Δ = 1.6</t>
  </si>
  <si>
    <t>Let's try to continue Burcharth's work with a straight line following the lowest points, incl. Thapsus and Rosslyn</t>
  </si>
  <si>
    <t>This cannot be a realistic physical solution, as we do need all 3 parameters: h, Rc and D50</t>
  </si>
  <si>
    <t>valid for  4 &lt; h/ΔD50 &lt; 12</t>
  </si>
  <si>
    <t>not valid</t>
  </si>
  <si>
    <t>AdG formula valid for:</t>
  </si>
  <si>
    <t xml:space="preserve">  4 &lt; h/ΔD50 &lt; 12</t>
  </si>
  <si>
    <t>"AdG formula"</t>
  </si>
  <si>
    <t>Burcharth formula</t>
  </si>
  <si>
    <t>Rc/D50 = -1.6 h/ΔD50 + 3.45</t>
  </si>
  <si>
    <t>Rc/D50 = -0.4 h/ΔD50 - 1.3</t>
  </si>
  <si>
    <t>AdG formula</t>
  </si>
  <si>
    <t>valid for  1 &lt; h/ΔD50 &lt; 4</t>
  </si>
  <si>
    <t>that is:</t>
  </si>
  <si>
    <t>h</t>
  </si>
  <si>
    <t>valid for  -3 &lt; Rc/D50 &lt; +2</t>
  </si>
  <si>
    <t xml:space="preserve">  1 &lt; h/ΔD50 &lt; 4</t>
  </si>
  <si>
    <r>
      <t xml:space="preserve">  -</t>
    </r>
    <r>
      <rPr>
        <b/>
        <sz val="11"/>
        <color theme="1"/>
        <rFont val="Calibri"/>
        <family val="2"/>
        <scheme val="minor"/>
      </rPr>
      <t>0.46 &lt; Rc/h &lt; +1.15</t>
    </r>
  </si>
  <si>
    <r>
      <t xml:space="preserve">  -</t>
    </r>
    <r>
      <rPr>
        <b/>
        <sz val="11"/>
        <color theme="1"/>
        <rFont val="Calibri"/>
        <family val="2"/>
        <scheme val="minor"/>
      </rPr>
      <t>0.32 &lt; Rc/h &lt; -0.45</t>
    </r>
  </si>
  <si>
    <t>point</t>
  </si>
  <si>
    <t>x</t>
  </si>
  <si>
    <t>y</t>
  </si>
  <si>
    <t>A</t>
  </si>
  <si>
    <t>C1</t>
  </si>
  <si>
    <t>C2</t>
  </si>
  <si>
    <t>B</t>
  </si>
  <si>
    <t xml:space="preserve">h= </t>
  </si>
  <si>
    <t>Rc=</t>
  </si>
  <si>
    <t>P=0.75h</t>
  </si>
  <si>
    <t>SWL</t>
  </si>
  <si>
    <t>Section 1</t>
  </si>
  <si>
    <t>Section 2</t>
  </si>
  <si>
    <t>Section 3</t>
  </si>
  <si>
    <t>Section 4</t>
  </si>
  <si>
    <t>Section 5</t>
  </si>
  <si>
    <t>Section 6</t>
  </si>
  <si>
    <t>Section 7</t>
  </si>
  <si>
    <t>Section tot</t>
  </si>
  <si>
    <t>T=0.25h</t>
  </si>
  <si>
    <t>Initial</t>
  </si>
  <si>
    <t>Final</t>
  </si>
  <si>
    <t>inchangée</t>
  </si>
  <si>
    <t>pente AV= 1:</t>
  </si>
  <si>
    <t>SWL: niveau d'eau, profondeur h réglable</t>
  </si>
  <si>
    <t>A: pied AV</t>
  </si>
  <si>
    <t>B: pied AR, pente AR 1:1.5</t>
  </si>
  <si>
    <t>C2: crête AR réglable</t>
  </si>
  <si>
    <t>pente underW</t>
  </si>
  <si>
    <t>pente aboveW</t>
  </si>
  <si>
    <t>width toe</t>
  </si>
  <si>
    <t>Width toe</t>
  </si>
  <si>
    <t>T: haut de butée à 0.5 h, pente 1:1.5</t>
  </si>
  <si>
    <t>P: point pivot à h, pente AV réglable</t>
  </si>
  <si>
    <t>C1: crête AV réglable</t>
  </si>
  <si>
    <t>Figure 1. Stability of submerged breakwaters with breaking waves.</t>
  </si>
  <si>
    <r>
      <t xml:space="preserve">
                                                                                                           </t>
    </r>
    <r>
      <rPr>
        <b/>
        <sz val="11"/>
        <color theme="1"/>
        <rFont val="Calibri"/>
        <family val="2"/>
        <scheme val="minor"/>
      </rPr>
      <t xml:space="preserve"> a. Initial breakwater</t>
    </r>
    <r>
      <rPr>
        <i/>
        <sz val="11"/>
        <color theme="1"/>
        <rFont val="Calibri"/>
        <family val="2"/>
        <scheme val="minor"/>
      </rPr>
      <t xml:space="preserve">
        </t>
    </r>
    <r>
      <rPr>
        <b/>
        <sz val="11"/>
        <color theme="1"/>
        <rFont val="Calibri"/>
        <family val="2"/>
        <scheme val="minor"/>
      </rPr>
      <t xml:space="preserve">  b. Reshaped breakwater</t>
    </r>
    <r>
      <rPr>
        <i/>
        <sz val="11"/>
        <color theme="1"/>
        <rFont val="Calibri"/>
        <family val="2"/>
        <scheme val="minor"/>
      </rPr>
      <t xml:space="preserve">
    </t>
    </r>
    <r>
      <rPr>
        <b/>
        <sz val="11"/>
        <color theme="1"/>
        <rFont val="Calibri"/>
        <family val="2"/>
        <scheme val="minor"/>
      </rPr>
      <t xml:space="preserve"> c. Submerged breakwater</t>
    </r>
    <r>
      <rPr>
        <i/>
        <sz val="11"/>
        <color theme="1"/>
        <rFont val="Calibri"/>
        <family val="2"/>
        <scheme val="minor"/>
      </rPr>
      <t xml:space="preserve">
</t>
    </r>
  </si>
  <si>
    <t xml:space="preserve">La formule AdG est donnée dans son intervalle de validité: </t>
  </si>
  <si>
    <t>tous les BW seraient stables sous 0.5 h (on ne voit pas bien pourquoi !)</t>
  </si>
  <si>
    <t>La formule Burcharth est extrapolée bien au-delà de sa limite de validité de Rc &gt; -0.46 h</t>
  </si>
  <si>
    <t>elle tend vers -1.0, ce qui est logique: c'est le sea-bed (pour D50 petit &gt;&gt; Rc= -h)</t>
  </si>
  <si>
    <t>Physiquement, la formule de Burcharth est plus parlante que celle d'AdG !</t>
  </si>
  <si>
    <t>D50 = 2 cm</t>
  </si>
  <si>
    <t>crest width = 49 cm  &gt;&gt;  25 D50</t>
  </si>
  <si>
    <t>(20 gr for class B on unstable rear slope)</t>
  </si>
  <si>
    <t>(toe at -3m and crest at +7.5m &gt;&gt;  d=10.5m)</t>
  </si>
  <si>
    <t>scale =  1:27.59</t>
  </si>
  <si>
    <t>lowest crest Rc = - 9 cm (at +2.5m &gt;&gt; 2.6m under SWL)  &gt;&gt;  Rc = -0.31h</t>
  </si>
  <si>
    <t>D50 = 0.29 d</t>
  </si>
  <si>
    <t>avec Rc=-1.21D50 et Rc=-0.35d on trouve la Burcharth rule:</t>
  </si>
  <si>
    <t>Rc/d</t>
  </si>
  <si>
    <t>Rc=-1.21D50</t>
  </si>
  <si>
    <t>D50max (m)</t>
  </si>
  <si>
    <t>d (m)</t>
  </si>
  <si>
    <t>on voit D50 sur les lignes jaunes ci-dessus, donc:</t>
  </si>
  <si>
    <t>Rc</t>
  </si>
  <si>
    <t xml:space="preserve">Rc = </t>
  </si>
  <si>
    <t>D50 est maxi pour:</t>
  </si>
  <si>
    <t>c’est-à-dire:</t>
  </si>
  <si>
    <t>valid for:   -3 &lt; Rc/D50 &lt; +2</t>
  </si>
  <si>
    <t>verif</t>
  </si>
  <si>
    <r>
      <t>b</t>
    </r>
    <r>
      <rPr>
        <vertAlign val="superscript"/>
        <sz val="11"/>
        <color theme="1"/>
        <rFont val="Calibri"/>
        <family val="2"/>
        <scheme val="minor"/>
      </rPr>
      <t>2</t>
    </r>
    <r>
      <rPr>
        <sz val="11"/>
        <color theme="1"/>
        <rFont val="Calibri"/>
        <family val="2"/>
        <scheme val="minor"/>
      </rPr>
      <t xml:space="preserve"> - 4 ac</t>
    </r>
  </si>
  <si>
    <t>c</t>
  </si>
  <si>
    <t>b</t>
  </si>
  <si>
    <t>a</t>
  </si>
  <si>
    <t>"-"</t>
  </si>
  <si>
    <t>"+"</t>
  </si>
  <si>
    <t>d (m) =</t>
  </si>
  <si>
    <r>
      <t>0.12/D50</t>
    </r>
    <r>
      <rPr>
        <vertAlign val="superscript"/>
        <sz val="11"/>
        <color theme="1"/>
        <rFont val="Calibri"/>
        <family val="2"/>
        <scheme val="minor"/>
      </rPr>
      <t>2</t>
    </r>
    <r>
      <rPr>
        <sz val="11"/>
        <color theme="1"/>
        <rFont val="Calibri"/>
        <family val="2"/>
        <scheme val="minor"/>
      </rPr>
      <t xml:space="preserve"> Rc + 0.145/D50</t>
    </r>
  </si>
  <si>
    <t>dérivée:</t>
  </si>
  <si>
    <r>
      <t>0.06/D50</t>
    </r>
    <r>
      <rPr>
        <vertAlign val="superscript"/>
        <sz val="11"/>
        <color theme="1"/>
        <rFont val="Calibri"/>
        <family val="2"/>
        <scheme val="minor"/>
      </rPr>
      <t>2</t>
    </r>
    <r>
      <rPr>
        <sz val="11"/>
        <color theme="1"/>
        <rFont val="Calibri"/>
        <family val="2"/>
        <scheme val="minor"/>
      </rPr>
      <t>(Rc)</t>
    </r>
    <r>
      <rPr>
        <vertAlign val="superscript"/>
        <sz val="11"/>
        <color theme="1"/>
        <rFont val="Calibri"/>
        <family val="2"/>
        <scheme val="minor"/>
      </rPr>
      <t>2</t>
    </r>
    <r>
      <rPr>
        <sz val="11"/>
        <color theme="1"/>
        <rFont val="Calibri"/>
        <family val="2"/>
        <scheme val="minor"/>
      </rPr>
      <t xml:space="preserve"> + 0.145/D50 (Rc) + 1.36 - 0.375 d/D50 = 0</t>
    </r>
  </si>
  <si>
    <r>
      <t>0.375 (d - Rc)/D50 = 0.06(Rc/D50)</t>
    </r>
    <r>
      <rPr>
        <vertAlign val="superscript"/>
        <sz val="11"/>
        <color theme="1"/>
        <rFont val="Calibri"/>
        <family val="2"/>
        <scheme val="minor"/>
      </rPr>
      <t>2</t>
    </r>
    <r>
      <rPr>
        <sz val="11"/>
        <color theme="1"/>
        <rFont val="Calibri"/>
        <family val="2"/>
        <scheme val="minor"/>
      </rPr>
      <t xml:space="preserve"> - 0.23 (Rc/D50) + 1.36</t>
    </r>
  </si>
  <si>
    <r>
      <t>0.375 h/D50 = 0.06(Rc/D50)</t>
    </r>
    <r>
      <rPr>
        <vertAlign val="superscript"/>
        <sz val="11"/>
        <color theme="1"/>
        <rFont val="Calibri"/>
        <family val="2"/>
        <scheme val="minor"/>
      </rPr>
      <t>2</t>
    </r>
    <r>
      <rPr>
        <sz val="11"/>
        <color theme="1"/>
        <rFont val="Calibri"/>
        <family val="2"/>
        <scheme val="minor"/>
      </rPr>
      <t xml:space="preserve"> - 0.23 (Rc/D50) + 1.36</t>
    </r>
  </si>
  <si>
    <t>Burcharth avec Δ = 1.6 et Hs = 0.6 h et h = d - Rc</t>
  </si>
  <si>
    <t xml:space="preserve">Burcharth: </t>
  </si>
  <si>
    <r>
      <t>h/</t>
    </r>
    <r>
      <rPr>
        <sz val="11"/>
        <color theme="1"/>
        <rFont val="Calibri"/>
        <family val="2"/>
      </rPr>
      <t>ΔD50</t>
    </r>
  </si>
  <si>
    <t>Wild extrapolation</t>
  </si>
  <si>
    <t>This is a linear approx of the 2nd order equation, valid only for -3 &lt; Rc/D50</t>
  </si>
  <si>
    <t>"Burcharth's rule"</t>
  </si>
  <si>
    <t>Burch. rule valid for:</t>
  </si>
  <si>
    <t>idem with Burcharth's equation</t>
  </si>
  <si>
    <r>
      <t>0.06/D50</t>
    </r>
    <r>
      <rPr>
        <vertAlign val="superscript"/>
        <sz val="11"/>
        <color theme="1"/>
        <rFont val="Calibri"/>
        <family val="2"/>
        <scheme val="minor"/>
      </rPr>
      <t>2</t>
    </r>
    <r>
      <rPr>
        <sz val="11"/>
        <color theme="1"/>
        <rFont val="Calibri"/>
        <family val="2"/>
        <scheme val="minor"/>
      </rPr>
      <t>(Rc)</t>
    </r>
    <r>
      <rPr>
        <vertAlign val="superscript"/>
        <sz val="11"/>
        <color theme="1"/>
        <rFont val="Calibri"/>
        <family val="2"/>
        <scheme val="minor"/>
      </rPr>
      <t>2</t>
    </r>
    <r>
      <rPr>
        <sz val="11"/>
        <color theme="1"/>
        <rFont val="Calibri"/>
        <family val="2"/>
        <scheme val="minor"/>
      </rPr>
      <t xml:space="preserve"> - 0.23/D50 (Rc) + 1.36 - 0.375 h/D50 = 0</t>
    </r>
  </si>
  <si>
    <t>D50 (m) =</t>
  </si>
  <si>
    <r>
      <t>Hs/ΔD50 = 0.06(Rc/D50)</t>
    </r>
    <r>
      <rPr>
        <vertAlign val="superscript"/>
        <sz val="11"/>
        <color theme="1"/>
        <rFont val="Calibri"/>
        <family val="2"/>
        <scheme val="minor"/>
      </rPr>
      <t>2</t>
    </r>
    <r>
      <rPr>
        <sz val="11"/>
        <color theme="1"/>
        <rFont val="Calibri"/>
        <family val="2"/>
        <scheme val="minor"/>
      </rPr>
      <t xml:space="preserve"> - 0.23 (Rc/D50) + 1.36</t>
    </r>
  </si>
  <si>
    <t>foreshore slope = horizontal &gt;&gt; spilling over long distance in front of BW = less agressive wave attack</t>
  </si>
  <si>
    <t>That is ok for non breaking waves. But not ok for depth limited waves that are breaking near the toe of the BW</t>
  </si>
  <si>
    <r>
      <t xml:space="preserve">Other problem: most research did not consider the </t>
    </r>
    <r>
      <rPr>
        <b/>
        <sz val="11"/>
        <color theme="1"/>
        <rFont val="Calibri"/>
        <family val="2"/>
        <scheme val="minor"/>
      </rPr>
      <t>sea bed slope in front of BW</t>
    </r>
    <r>
      <rPr>
        <sz val="11"/>
        <color theme="1"/>
        <rFont val="Calibri"/>
        <family val="2"/>
        <scheme val="minor"/>
      </rPr>
      <t xml:space="preserve"> as a relevant parameter. </t>
    </r>
  </si>
  <si>
    <t>Δ (-)</t>
  </si>
  <si>
    <t>Sea bed slope 3 or 5% (as existing in flume)</t>
  </si>
  <si>
    <r>
      <t>Lo = 1.56 T</t>
    </r>
    <r>
      <rPr>
        <vertAlign val="superscript"/>
        <sz val="11"/>
        <color theme="1"/>
        <rFont val="Calibri"/>
        <family val="2"/>
        <scheme val="minor"/>
      </rPr>
      <t>2</t>
    </r>
    <r>
      <rPr>
        <sz val="11"/>
        <color theme="1"/>
        <rFont val="Calibri"/>
        <family val="2"/>
        <scheme val="minor"/>
      </rPr>
      <t xml:space="preserve"> =</t>
    </r>
  </si>
  <si>
    <t>Tp (s) to be adjusted to get the most agressive wave breaking on the BW front slope:</t>
  </si>
  <si>
    <t>m</t>
  </si>
  <si>
    <t>Ir =</t>
  </si>
  <si>
    <t xml:space="preserve">&gt;&gt;  Tp = </t>
  </si>
  <si>
    <t>Hs =</t>
  </si>
  <si>
    <t>1:</t>
  </si>
  <si>
    <t>s</t>
  </si>
  <si>
    <r>
      <t>Ir = tg</t>
    </r>
    <r>
      <rPr>
        <sz val="11"/>
        <color theme="1"/>
        <rFont val="Calibri"/>
        <family val="2"/>
      </rPr>
      <t>α/√</t>
    </r>
    <r>
      <rPr>
        <sz val="11"/>
        <color theme="1"/>
        <rFont val="Calibri"/>
        <family val="2"/>
        <scheme val="minor"/>
      </rPr>
      <t>Hs/Lo  with Lo = 1.56 T</t>
    </r>
    <r>
      <rPr>
        <vertAlign val="superscript"/>
        <sz val="11"/>
        <color theme="1"/>
        <rFont val="Calibri"/>
        <family val="2"/>
        <scheme val="minor"/>
      </rPr>
      <t>2</t>
    </r>
  </si>
  <si>
    <r>
      <t>0.06/D50</t>
    </r>
    <r>
      <rPr>
        <vertAlign val="superscript"/>
        <sz val="11"/>
        <color theme="1"/>
        <rFont val="Calibri"/>
        <family val="2"/>
        <scheme val="minor"/>
      </rPr>
      <t>2</t>
    </r>
    <r>
      <rPr>
        <sz val="11"/>
        <color theme="1"/>
        <rFont val="Calibri"/>
        <family val="2"/>
        <scheme val="minor"/>
      </rPr>
      <t>(Rc)</t>
    </r>
    <r>
      <rPr>
        <vertAlign val="superscript"/>
        <sz val="11"/>
        <color theme="1"/>
        <rFont val="Calibri"/>
        <family val="2"/>
        <scheme val="minor"/>
      </rPr>
      <t>2</t>
    </r>
    <r>
      <rPr>
        <sz val="11"/>
        <color theme="1"/>
        <rFont val="Calibri"/>
        <family val="2"/>
        <scheme val="minor"/>
      </rPr>
      <t xml:space="preserve"> - 0.23/D50 (Rc) + 1.36 -Hs/ΔD50 = 0</t>
    </r>
  </si>
  <si>
    <t>Scale: 1:25 (is just a guideline)</t>
  </si>
  <si>
    <r>
      <t xml:space="preserve">Number of waves: 1 hour in model &gt;&gt;&gt; 1800 waves with Tp = 2s and </t>
    </r>
    <r>
      <rPr>
        <b/>
        <sz val="11"/>
        <color theme="1"/>
        <rFont val="Calibri"/>
        <family val="2"/>
        <scheme val="minor"/>
      </rPr>
      <t>MORE if DAMAGE NOT STABILISED</t>
    </r>
  </si>
  <si>
    <t xml:space="preserve">BW slopes tgα: </t>
  </si>
  <si>
    <t>for BW slope</t>
  </si>
  <si>
    <t>to be measured</t>
  </si>
  <si>
    <t>crest width C1-C2</t>
  </si>
  <si>
    <t>P=C1</t>
  </si>
  <si>
    <t>T=0.3h</t>
  </si>
  <si>
    <t>Ir (BW)</t>
  </si>
  <si>
    <t>tgα (BW)</t>
  </si>
  <si>
    <t>Mesures à faire:</t>
  </si>
  <si>
    <t>Niveaux via pige avec un pied: 3 points en travers + 4 points en long</t>
  </si>
  <si>
    <t>Photos: profils de digue + vues du dessus &gt;&gt; répartition des dommages</t>
  </si>
  <si>
    <t>Videos: évolution de la houle &gt;&gt; cambrure et déferlement sur la digue</t>
  </si>
  <si>
    <r>
      <t>h/gT</t>
    </r>
    <r>
      <rPr>
        <vertAlign val="superscript"/>
        <sz val="11"/>
        <color theme="1"/>
        <rFont val="Calibri"/>
        <family val="2"/>
        <scheme val="minor"/>
      </rPr>
      <t>2</t>
    </r>
  </si>
  <si>
    <t>Allsop</t>
  </si>
  <si>
    <t>Le Mehauté</t>
  </si>
  <si>
    <t>AdG</t>
  </si>
  <si>
    <t>a =</t>
  </si>
  <si>
    <t>b =</t>
  </si>
  <si>
    <t>c =</t>
  </si>
  <si>
    <t>serait moins précis mais plus élégant …</t>
  </si>
  <si>
    <t>m = 1:</t>
  </si>
  <si>
    <t>idem with Burcharth's rule (with Hs/h = 0.6)</t>
  </si>
  <si>
    <t>Burcharth with Δ = 1.6 and Hs = 0.6 h</t>
  </si>
  <si>
    <t>Coeff b:</t>
  </si>
  <si>
    <t>Hs/h:</t>
  </si>
  <si>
    <t>Coeff a:</t>
  </si>
  <si>
    <t>Coeff c:</t>
  </si>
  <si>
    <r>
      <t>b</t>
    </r>
    <r>
      <rPr>
        <vertAlign val="superscript"/>
        <sz val="11"/>
        <color theme="1"/>
        <rFont val="Calibri"/>
        <family val="2"/>
        <scheme val="minor"/>
      </rPr>
      <t>2</t>
    </r>
    <r>
      <rPr>
        <sz val="11"/>
        <color theme="1"/>
        <rFont val="Calibri"/>
        <family val="2"/>
        <scheme val="minor"/>
      </rPr>
      <t xml:space="preserve"> - 4 ac:</t>
    </r>
  </si>
  <si>
    <t>Rc (m):</t>
  </si>
  <si>
    <t>Rc/h:</t>
  </si>
  <si>
    <r>
      <t>Rc/D</t>
    </r>
    <r>
      <rPr>
        <vertAlign val="subscript"/>
        <sz val="11"/>
        <color theme="1"/>
        <rFont val="Calibri"/>
        <family val="2"/>
        <scheme val="minor"/>
      </rPr>
      <t>50</t>
    </r>
    <r>
      <rPr>
        <sz val="11"/>
        <color theme="1"/>
        <rFont val="Calibri"/>
        <family val="2"/>
        <scheme val="minor"/>
      </rPr>
      <t>:</t>
    </r>
  </si>
  <si>
    <r>
      <t>Coeff b = 1.6 - m/30 + m</t>
    </r>
    <r>
      <rPr>
        <b/>
        <vertAlign val="superscript"/>
        <sz val="11"/>
        <color theme="1"/>
        <rFont val="Calibri"/>
        <family val="2"/>
        <scheme val="minor"/>
      </rPr>
      <t>2</t>
    </r>
    <r>
      <rPr>
        <b/>
        <sz val="11"/>
        <color theme="1"/>
        <rFont val="Calibri"/>
        <family val="2"/>
        <scheme val="minor"/>
      </rPr>
      <t>/5000</t>
    </r>
  </si>
  <si>
    <r>
      <t>Hs/ΔD</t>
    </r>
    <r>
      <rPr>
        <vertAlign val="subscript"/>
        <sz val="11"/>
        <color theme="1"/>
        <rFont val="Calibri"/>
        <family val="2"/>
        <scheme val="minor"/>
      </rPr>
      <t>50:</t>
    </r>
  </si>
  <si>
    <r>
      <t>h/ΔD</t>
    </r>
    <r>
      <rPr>
        <vertAlign val="subscript"/>
        <sz val="11"/>
        <color theme="1"/>
        <rFont val="Calibri"/>
        <family val="2"/>
        <scheme val="minor"/>
      </rPr>
      <t>50</t>
    </r>
    <r>
      <rPr>
        <sz val="11"/>
        <color theme="1"/>
        <rFont val="Calibri"/>
        <family val="2"/>
        <scheme val="minor"/>
      </rPr>
      <t>:</t>
    </r>
  </si>
  <si>
    <t>model scale 1:</t>
  </si>
  <si>
    <r>
      <t>D</t>
    </r>
    <r>
      <rPr>
        <vertAlign val="subscript"/>
        <sz val="11"/>
        <color theme="1"/>
        <rFont val="Calibri"/>
        <family val="2"/>
        <scheme val="minor"/>
      </rPr>
      <t>50</t>
    </r>
    <r>
      <rPr>
        <sz val="11"/>
        <color theme="1"/>
        <rFont val="Calibri"/>
        <family val="2"/>
        <scheme val="minor"/>
      </rPr>
      <t>/h:</t>
    </r>
  </si>
  <si>
    <t>valid for  -3 &lt; Rc/D50 and extrapolated to -5.5 &lt; Rc/D50 with uncertain result for D50 &lt; 0.08 h</t>
  </si>
  <si>
    <t>validy: Rc/D50 &gt; -5.5</t>
  </si>
  <si>
    <t>validy: D50/h &gt; 0.08</t>
  </si>
  <si>
    <t>(angle of repose)</t>
  </si>
  <si>
    <t>Question: que se passe-t-il pour D50 &lt; 0.08 h ???</t>
  </si>
  <si>
    <t>= cas du sable … qui doit donner Rc/h = -1</t>
  </si>
  <si>
    <t>Find worst Tp (vdMeer, fig 3.20):</t>
  </si>
  <si>
    <t>Worst Ir number = 3.5 - 4:</t>
  </si>
  <si>
    <t>&gt;&gt;&gt; l'équation de Burcharth n'est valable que pour les enrochements et non pour le sable. Dommage !!!</t>
  </si>
  <si>
    <t>&gt;&gt;&gt; faire les essais pour des valeurs de D50 &lt; 0.030 m</t>
  </si>
  <si>
    <t>limite</t>
  </si>
  <si>
    <t>Hs, Tp et spectres au large et à l'emplacement du pied de digue (mais sans digue ! ou au moins sans reflexions)</t>
  </si>
  <si>
    <r>
      <t>Burcharth equation</t>
    </r>
    <r>
      <rPr>
        <sz val="11"/>
        <color theme="1"/>
        <rFont val="Calibri"/>
        <family val="2"/>
        <scheme val="minor"/>
      </rPr>
      <t xml:space="preserve"> (which is not valid for these small D50):</t>
    </r>
  </si>
  <si>
    <t>Sea bed slope 1:</t>
  </si>
  <si>
    <t>Wave period Tp (s):</t>
  </si>
  <si>
    <t>BW front slope 1:</t>
  </si>
  <si>
    <r>
      <t>Stone size D</t>
    </r>
    <r>
      <rPr>
        <vertAlign val="subscript"/>
        <sz val="11"/>
        <color theme="1"/>
        <rFont val="Calibri"/>
        <family val="2"/>
        <scheme val="minor"/>
      </rPr>
      <t>50</t>
    </r>
    <r>
      <rPr>
        <sz val="11"/>
        <color theme="1"/>
        <rFont val="Calibri"/>
        <family val="2"/>
        <scheme val="minor"/>
      </rPr>
      <t xml:space="preserve"> (m):</t>
    </r>
  </si>
  <si>
    <t>Stone Δ (-):</t>
  </si>
  <si>
    <t>Stable submerged BW:</t>
  </si>
  <si>
    <t>Water depth at toe h (m)</t>
  </si>
  <si>
    <t>Seule la Burcharth's rule conviendrait !! ou une courbe avec des asymptotes (type hyperbolique)</t>
  </si>
  <si>
    <t>N°</t>
  </si>
  <si>
    <t>estimated !</t>
  </si>
  <si>
    <t>NB: le "- 1 " fait l'asymptote de Rc/h à - 1 !</t>
  </si>
  <si>
    <t>Burcharth l'avait déjà.</t>
  </si>
  <si>
    <t>C'est lui qui avait tout compris !</t>
  </si>
  <si>
    <t>h/Lo</t>
  </si>
  <si>
    <t xml:space="preserve">s = </t>
  </si>
  <si>
    <t>pas étonnant que Goda ne cite pas Allsop !</t>
  </si>
  <si>
    <t>donc des premières vagues qui déferlent ("incipient breaking")</t>
  </si>
  <si>
    <t>c’est-à-dire les plus grosses.</t>
  </si>
  <si>
    <t>Après cette "incipient breaker line", les autres vagues déferlent aussi</t>
  </si>
  <si>
    <t>Goda parle ici de houle aléatoire (= son coeff 0.12)</t>
  </si>
  <si>
    <t>Find Hs/h (Goda):</t>
  </si>
  <si>
    <t>Find Rc/h (Burcharth's equation):</t>
  </si>
  <si>
    <t xml:space="preserve">De toute façon, l'ouvrage posé sur h verra déferler sur lui les vagues maxi </t>
  </si>
  <si>
    <t>Tout ceux qui ont fait semblant de prendre la seabed slope m en compte</t>
  </si>
  <si>
    <t xml:space="preserve">Ils n'ont donc pas vu une grosse différence sur Hs/h </t>
  </si>
  <si>
    <t>et donc sur les dommages à l'ouvrage.</t>
  </si>
  <si>
    <t>C'est m = 10 qu'il fallait regarder et à SGH on le savait par l'étude de</t>
  </si>
  <si>
    <t>la route littorale à La Réunion !!</t>
  </si>
  <si>
    <t>Near-bed structures: Rock Manual p607/608</t>
  </si>
  <si>
    <t>What is called Rc for submerged structures is called here hc</t>
  </si>
  <si>
    <t>eq 5.173 reduces to the following in shallow water where sinh kh = kh and c = sqrt (gh)</t>
  </si>
  <si>
    <r>
      <t>u</t>
    </r>
    <r>
      <rPr>
        <vertAlign val="superscript"/>
        <sz val="11"/>
        <color theme="1"/>
        <rFont val="Calibri"/>
        <family val="2"/>
        <scheme val="minor"/>
      </rPr>
      <t>2</t>
    </r>
    <r>
      <rPr>
        <sz val="11"/>
        <color theme="1"/>
        <rFont val="Calibri"/>
        <family val="2"/>
        <scheme val="minor"/>
      </rPr>
      <t xml:space="preserve"> = g Hs</t>
    </r>
    <r>
      <rPr>
        <vertAlign val="superscript"/>
        <sz val="11"/>
        <color theme="1"/>
        <rFont val="Calibri"/>
        <family val="2"/>
        <scheme val="minor"/>
      </rPr>
      <t>2</t>
    </r>
    <r>
      <rPr>
        <sz val="11"/>
        <color theme="1"/>
        <rFont val="Calibri"/>
        <family val="2"/>
        <scheme val="minor"/>
      </rPr>
      <t xml:space="preserve"> / 4 hc</t>
    </r>
  </si>
  <si>
    <t>hence:</t>
  </si>
  <si>
    <t>with Δ = 1.6:</t>
  </si>
  <si>
    <t>Stability is defined on the base of currents: orbital bottom velocity u</t>
  </si>
  <si>
    <r>
      <t>u</t>
    </r>
    <r>
      <rPr>
        <vertAlign val="superscript"/>
        <sz val="11"/>
        <color theme="1"/>
        <rFont val="Calibri"/>
        <family val="2"/>
        <scheme val="minor"/>
      </rPr>
      <t>2</t>
    </r>
    <r>
      <rPr>
        <sz val="11"/>
        <color theme="1"/>
        <rFont val="Calibri"/>
        <family val="2"/>
        <scheme val="minor"/>
      </rPr>
      <t xml:space="preserve"> = (0.6 to 1.0) g Δ D50</t>
    </r>
  </si>
  <si>
    <r>
      <t>Hs</t>
    </r>
    <r>
      <rPr>
        <vertAlign val="superscript"/>
        <sz val="11"/>
        <color theme="1"/>
        <rFont val="Calibri"/>
        <family val="2"/>
        <scheme val="minor"/>
      </rPr>
      <t>2</t>
    </r>
    <r>
      <rPr>
        <sz val="11"/>
        <color theme="1"/>
        <rFont val="Calibri"/>
        <family val="2"/>
        <scheme val="minor"/>
      </rPr>
      <t xml:space="preserve"> = (2.4 to 4) hc Δ D50</t>
    </r>
  </si>
  <si>
    <t>these structures are obviously low compared to the waterdepth and rather long in wave propagation direction</t>
  </si>
  <si>
    <t>compared to the Shields mobility parameter.</t>
  </si>
  <si>
    <t>they are typically bed protection works protecting against local scour or protecting a sealine.</t>
  </si>
  <si>
    <r>
      <t>u</t>
    </r>
    <r>
      <rPr>
        <vertAlign val="superscript"/>
        <sz val="11"/>
        <color theme="1"/>
        <rFont val="Calibri"/>
        <family val="2"/>
        <scheme val="minor"/>
      </rPr>
      <t>2</t>
    </r>
    <r>
      <rPr>
        <sz val="11"/>
        <color theme="1"/>
        <rFont val="Calibri"/>
        <family val="2"/>
        <scheme val="minor"/>
      </rPr>
      <t xml:space="preserve"> = g Hs</t>
    </r>
    <r>
      <rPr>
        <vertAlign val="superscript"/>
        <sz val="11"/>
        <color theme="1"/>
        <rFont val="Calibri"/>
        <family val="2"/>
        <scheme val="minor"/>
      </rPr>
      <t>2</t>
    </r>
    <r>
      <rPr>
        <sz val="11"/>
        <color theme="1"/>
        <rFont val="Calibri"/>
        <family val="2"/>
        <scheme val="minor"/>
      </rPr>
      <t xml:space="preserve"> / 4 hc  du Rock Manual s'écrirait:  u</t>
    </r>
    <r>
      <rPr>
        <vertAlign val="superscript"/>
        <sz val="11"/>
        <color theme="1"/>
        <rFont val="Calibri"/>
        <family val="2"/>
        <scheme val="minor"/>
      </rPr>
      <t>2</t>
    </r>
    <r>
      <rPr>
        <sz val="11"/>
        <color theme="1"/>
        <rFont val="Calibri"/>
        <family val="2"/>
        <scheme val="minor"/>
      </rPr>
      <t xml:space="preserve"> = g Hs</t>
    </r>
    <r>
      <rPr>
        <vertAlign val="superscript"/>
        <sz val="11"/>
        <color theme="1"/>
        <rFont val="Calibri"/>
        <family val="2"/>
        <scheme val="minor"/>
      </rPr>
      <t>2</t>
    </r>
    <r>
      <rPr>
        <sz val="11"/>
        <color theme="1"/>
        <rFont val="Calibri"/>
        <family val="2"/>
        <scheme val="minor"/>
      </rPr>
      <t xml:space="preserve"> / 4 h  pour dire que u est régi non par hc mais par h </t>
    </r>
    <r>
      <rPr>
        <u/>
        <sz val="11"/>
        <color theme="1"/>
        <rFont val="Calibri"/>
        <family val="2"/>
        <scheme val="minor"/>
      </rPr>
      <t>devant</t>
    </r>
    <r>
      <rPr>
        <sz val="11"/>
        <color theme="1"/>
        <rFont val="Calibri"/>
        <family val="2"/>
        <scheme val="minor"/>
      </rPr>
      <t xml:space="preserve"> la structure</t>
    </r>
  </si>
  <si>
    <t>ensuite on dit que Hs = 0.6 hc  pour dire que Hs est défini par hc et non par h  (on pourrait défendre l'inverse !)</t>
  </si>
  <si>
    <t>donc:</t>
  </si>
  <si>
    <r>
      <t>u</t>
    </r>
    <r>
      <rPr>
        <vertAlign val="superscript"/>
        <sz val="11"/>
        <color theme="1"/>
        <rFont val="Calibri"/>
        <family val="2"/>
        <scheme val="minor"/>
      </rPr>
      <t xml:space="preserve">2 </t>
    </r>
    <r>
      <rPr>
        <sz val="11"/>
        <color theme="1"/>
        <rFont val="Calibri"/>
        <family val="2"/>
        <scheme val="minor"/>
      </rPr>
      <t>/g Δ D50 = 1  de l'éq 5.175 devient:</t>
    </r>
  </si>
  <si>
    <r>
      <t>0.36 hc</t>
    </r>
    <r>
      <rPr>
        <vertAlign val="superscript"/>
        <sz val="11"/>
        <color theme="1"/>
        <rFont val="Calibri"/>
        <family val="2"/>
        <scheme val="minor"/>
      </rPr>
      <t>2</t>
    </r>
    <r>
      <rPr>
        <sz val="11"/>
        <color theme="1"/>
        <rFont val="Calibri"/>
        <family val="2"/>
        <scheme val="minor"/>
      </rPr>
      <t xml:space="preserve"> g / 4 h g Δ D50 = 1</t>
    </r>
  </si>
  <si>
    <r>
      <t>hc</t>
    </r>
    <r>
      <rPr>
        <vertAlign val="superscript"/>
        <sz val="11"/>
        <color theme="1"/>
        <rFont val="Calibri"/>
        <family val="2"/>
        <scheme val="minor"/>
      </rPr>
      <t>2</t>
    </r>
    <r>
      <rPr>
        <sz val="11"/>
        <color theme="1"/>
        <rFont val="Calibri"/>
        <family val="2"/>
        <scheme val="minor"/>
      </rPr>
      <t xml:space="preserve"> / D50</t>
    </r>
    <r>
      <rPr>
        <vertAlign val="superscript"/>
        <sz val="11"/>
        <color theme="1"/>
        <rFont val="Calibri"/>
        <family val="2"/>
        <scheme val="minor"/>
      </rPr>
      <t>2</t>
    </r>
    <r>
      <rPr>
        <sz val="11"/>
        <color theme="1"/>
        <rFont val="Calibri"/>
        <family val="2"/>
        <scheme val="minor"/>
      </rPr>
      <t xml:space="preserve"> = 11 Δ h/D50</t>
    </r>
  </si>
  <si>
    <r>
      <t>hc</t>
    </r>
    <r>
      <rPr>
        <vertAlign val="superscript"/>
        <sz val="11"/>
        <color theme="1"/>
        <rFont val="Calibri"/>
        <family val="2"/>
        <scheme val="minor"/>
      </rPr>
      <t>2</t>
    </r>
    <r>
      <rPr>
        <sz val="11"/>
        <color theme="1"/>
        <rFont val="Calibri"/>
        <family val="2"/>
        <scheme val="minor"/>
      </rPr>
      <t xml:space="preserve"> / D50</t>
    </r>
    <r>
      <rPr>
        <vertAlign val="superscript"/>
        <sz val="11"/>
        <color theme="1"/>
        <rFont val="Calibri"/>
        <family val="2"/>
        <scheme val="minor"/>
      </rPr>
      <t>2</t>
    </r>
    <r>
      <rPr>
        <sz val="11"/>
        <color theme="1"/>
        <rFont val="Calibri"/>
        <family val="2"/>
        <scheme val="minor"/>
      </rPr>
      <t xml:space="preserve"> = 11 Δ</t>
    </r>
    <r>
      <rPr>
        <vertAlign val="superscript"/>
        <sz val="11"/>
        <color theme="1"/>
        <rFont val="Calibri"/>
        <family val="2"/>
        <scheme val="minor"/>
      </rPr>
      <t>2</t>
    </r>
    <r>
      <rPr>
        <sz val="11"/>
        <color theme="1"/>
        <rFont val="Calibri"/>
        <family val="2"/>
        <scheme val="minor"/>
      </rPr>
      <t xml:space="preserve"> h/ΔD50</t>
    </r>
  </si>
  <si>
    <t>avec hc = -Rc:</t>
  </si>
  <si>
    <t>Rc/D50 = -Δ sq(11h/ΔD50)</t>
  </si>
  <si>
    <t>with Hs = 0.6 hc = -0.6 Rc:</t>
  </si>
  <si>
    <t>Rc/D50 = -7 to -11 Δ</t>
  </si>
  <si>
    <t>Rc/D50 = -11 to -18</t>
  </si>
  <si>
    <t>Un peu plus tiré par les cheveux serait l'approche suivante qui garde à la fois un h et un hc</t>
  </si>
  <si>
    <t>Le graphique descend bien vers le bas (Rc/D50 = -10, -20, -30)</t>
  </si>
  <si>
    <t>mais seuls des essais peuvent confirmer la tendance</t>
  </si>
  <si>
    <t>Il n'empêche qu'on réussi à unifier ici toutes les structures immergées:</t>
  </si>
  <si>
    <t>&gt;&gt; les submerged BW</t>
  </si>
  <si>
    <t>ceci inclut les phases travaux de digues</t>
  </si>
  <si>
    <t>&gt;&gt;  berm BW</t>
  </si>
  <si>
    <t>&gt;&gt;  gravel beaches</t>
  </si>
  <si>
    <t>&gt;&gt;  digues non franchissables</t>
  </si>
  <si>
    <t>&gt;&gt;  sand beaches with dune</t>
  </si>
  <si>
    <t>c'était l'objet de cette étude</t>
  </si>
  <si>
    <t>Les structures émergeantes non franchies restent un sujet à part:</t>
  </si>
  <si>
    <t>in eq 5.175 the right side is equal to around 1 (with Sd = 10 and N = 3000)</t>
  </si>
  <si>
    <t>combining both eq yields:</t>
  </si>
  <si>
    <t>This is a horizontal band in the graph below</t>
  </si>
  <si>
    <r>
      <t>u</t>
    </r>
    <r>
      <rPr>
        <vertAlign val="superscript"/>
        <sz val="11"/>
        <color theme="1"/>
        <rFont val="Calibri"/>
        <family val="2"/>
        <scheme val="minor"/>
      </rPr>
      <t>2</t>
    </r>
    <r>
      <rPr>
        <sz val="11"/>
        <color theme="1"/>
        <rFont val="Calibri"/>
        <family val="2"/>
        <scheme val="minor"/>
      </rPr>
      <t xml:space="preserve"> /g Δ D50 = 0.6 to 1</t>
    </r>
  </si>
  <si>
    <t>or at least 0.6 (with Sd = 2 and N = 2000) so:</t>
  </si>
  <si>
    <t xml:space="preserve">The effect of wave breaking must be taken into account via the breaker index Hs/h as defined by Goda, </t>
  </si>
  <si>
    <t>which accounts for the effect of the sea bed slope</t>
  </si>
  <si>
    <t>NB: if we consider d is small, then Rc = approx h, hence:</t>
  </si>
  <si>
    <t>D50 = 0.05 to 0.10 h</t>
  </si>
  <si>
    <t>Figure 2. van der Meer's Figure 12 (1992)</t>
  </si>
  <si>
    <t>Figure 3. Destruction and reshaping of a breakwater.</t>
  </si>
  <si>
    <r>
      <t>The example below illustrates this. All figures 3a, 3b and 3c are undistorded and at the same scale. The initial BW height of 2.5 m above SWL is reduced to 0.5 m above SWL. As no material is supposed to be lost (i.e. the cross-section of the BW remains around 120 m</t>
    </r>
    <r>
      <rPr>
        <vertAlign val="superscript"/>
        <sz val="11"/>
        <color theme="1"/>
        <rFont val="Calibri"/>
        <family val="2"/>
        <scheme val="minor"/>
      </rPr>
      <t>2</t>
    </r>
    <r>
      <rPr>
        <sz val="11"/>
        <color theme="1"/>
        <rFont val="Calibri"/>
        <family val="2"/>
        <scheme val="minor"/>
      </rPr>
      <t>), the length of the submerged reshaped BW on the sea bed increased from 27.5 m up to nearly 33 m during the reshaping process (Fig. 3b: in this example, the choice of a front slope of 1:5 is arbitrary).
The question that remains to be answered at this stage is: will the BW further lower until it becomes submerged and further flatten out? If so, to which level under water (Fig. 3c with an arbitrary 1:10 front slope)?</t>
    </r>
  </si>
  <si>
    <r>
      <t>Dérivée est nulle pour: 0.12/D50</t>
    </r>
    <r>
      <rPr>
        <vertAlign val="superscript"/>
        <sz val="11"/>
        <color theme="1"/>
        <rFont val="Calibri"/>
        <family val="2"/>
        <scheme val="minor"/>
      </rPr>
      <t>2</t>
    </r>
    <r>
      <rPr>
        <sz val="11"/>
        <color theme="1"/>
        <rFont val="Calibri"/>
        <family val="2"/>
        <scheme val="minor"/>
      </rPr>
      <t xml:space="preserve"> Rc + 0.145/D50 = 0</t>
    </r>
  </si>
  <si>
    <t>Coeff 0.12</t>
  </si>
  <si>
    <t>Goda 2010</t>
  </si>
  <si>
    <t>Allsop 1998</t>
  </si>
  <si>
    <t>A =</t>
  </si>
  <si>
    <t>Weggelhamm 1972-95</t>
  </si>
  <si>
    <t>ceci est env 1.5 fois plus fort que Goda Coeff 0.12</t>
  </si>
  <si>
    <t>x paramètre Weggel 0.9</t>
  </si>
  <si>
    <t>Ras Laffan 2D tests 1712363, 2006</t>
  </si>
  <si>
    <t>Construction phases test MH_013b and MH_014b</t>
  </si>
  <si>
    <t>D50 = 0.7 cm</t>
  </si>
  <si>
    <t>d = 56 cm</t>
  </si>
  <si>
    <t>scale = 1:31</t>
  </si>
  <si>
    <t>h = 48 cm</t>
  </si>
  <si>
    <t>Tp (s) = 1.35  &gt;&gt;  Lo = 2.8 m</t>
  </si>
  <si>
    <t>Sop = 0.029</t>
  </si>
  <si>
    <t>foreshore slope = horizontal</t>
  </si>
  <si>
    <t>Test duration =  0.54 hours  &gt;&gt;  1450 waves</t>
  </si>
  <si>
    <t xml:space="preserve">D50 (selected quarry run &lt; 500 kg): &gt;&gt; D50 (m) = </t>
  </si>
  <si>
    <t xml:space="preserve">Rc: crest at -1 m and WL at +2 m &gt;&gt; Rc (m) = </t>
  </si>
  <si>
    <t>is not relevant as wave are not breaking</t>
  </si>
  <si>
    <t xml:space="preserve">equivalent </t>
  </si>
  <si>
    <t>crest width = 28 cm &gt;&gt; 40 D50</t>
  </si>
  <si>
    <t>This is clearly the largest damage that could be found so far. Merci Ras Laffan !</t>
  </si>
  <si>
    <t>Ras Laffan</t>
  </si>
  <si>
    <t>at scale = 1:31</t>
  </si>
  <si>
    <t>This data is included in "Model tests" hereafter</t>
  </si>
  <si>
    <t>lowest crest Rc = - 9.6 cm  &gt;&gt;  Rc = -0.2 h = -14 D50 on the seaward side</t>
  </si>
  <si>
    <t>It is not known if the profile was stabilised at the end of the test, but let's suppose so</t>
  </si>
  <si>
    <t>h (m) (WL at + 1.95 m) =</t>
  </si>
  <si>
    <t>Tp (s) = 1.9 (10 s in nature) &gt;&gt;  Lo = 5.6 m</t>
  </si>
  <si>
    <t>Sop = 0.025</t>
  </si>
  <si>
    <t>Sop = 0.008 to 0.011</t>
  </si>
  <si>
    <t>Sop = 0.020 and 0.035</t>
  </si>
  <si>
    <t>Sop = 0.018</t>
  </si>
  <si>
    <t xml:space="preserve">Hs(m) = 8 cm &gt;&gt; Hs/h = 0.17 &gt;&gt; no wave breaking </t>
  </si>
  <si>
    <t>et il s'avère que Hs/h augmente un peu vers la côte</t>
  </si>
  <si>
    <t>pour REPLA</t>
  </si>
  <si>
    <t>mais pour REPLA, il s'agit de propagation vague-par-vague</t>
  </si>
  <si>
    <t>donc quasiment de houle régulière</t>
  </si>
  <si>
    <t>pour laquelle Goda donne le coeff de 0.17</t>
  </si>
  <si>
    <t>calcule la bonne distribution après déferlement</t>
  </si>
  <si>
    <t xml:space="preserve">of course les essais en houle aléatoire ont prouvé que REPLA </t>
  </si>
  <si>
    <t>avec ce critère de déferlement "Weggelhamm 1972/1995"</t>
  </si>
  <si>
    <t>(sauf pour m = 10)</t>
  </si>
  <si>
    <t>mettre le critère Goda 2010 (coeff 0.17 en houle régulière)</t>
  </si>
  <si>
    <t>Coeff 0.17</t>
  </si>
  <si>
    <t xml:space="preserve">reviendrait à peu près au même </t>
  </si>
  <si>
    <t>son nuage de points est enveloppé par:</t>
  </si>
  <si>
    <t xml:space="preserve">Hs/h = </t>
  </si>
  <si>
    <t>celle de L Hamm est plus sécuritaire:</t>
  </si>
  <si>
    <t>C'est évidemment présomptueux de vouloir refaire une formule !!</t>
  </si>
  <si>
    <t>mais si tentant !</t>
  </si>
  <si>
    <t>Ci-dessus:</t>
  </si>
  <si>
    <t>données par un des Hs/h ci-dessus. C'est bien le worst case.</t>
  </si>
  <si>
    <t>(comme vdMeer) ont regardé des pentes faibles de m = 20 au pire.</t>
  </si>
  <si>
    <t>elle est en fond plat et en houle régulière</t>
  </si>
  <si>
    <t>elle est aussi en eau plus profonde: h/Lo = 0.05 à 0.5</t>
  </si>
  <si>
    <r>
      <t>Hs/h = 0.6 (0.9 - 5h/Lo) exp(0.5(1+11s</t>
    </r>
    <r>
      <rPr>
        <b/>
        <sz val="11"/>
        <color theme="1"/>
        <rFont val="Calibri"/>
        <family val="2"/>
      </rPr>
      <t>↑</t>
    </r>
    <r>
      <rPr>
        <b/>
        <sz val="11"/>
        <color theme="1"/>
        <rFont val="Calibri"/>
        <family val="2"/>
        <scheme val="minor"/>
      </rPr>
      <t>4/3))</t>
    </r>
  </si>
  <si>
    <t>on doit pouvoir faire mieux, c'était juste pour voir</t>
  </si>
  <si>
    <r>
      <t xml:space="preserve">on voit bien une limite supérieure (sécuritaire) </t>
    </r>
    <r>
      <rPr>
        <u/>
        <sz val="11"/>
        <color theme="1"/>
        <rFont val="Calibri"/>
        <family val="2"/>
        <scheme val="minor"/>
      </rPr>
      <t>linéaire !!</t>
    </r>
  </si>
  <si>
    <t>Reprenons sa Fig. 2 sans axes Log-Log !! (pente fonds à 1:35, 50, 70)</t>
  </si>
  <si>
    <t>Ce serait intéressant de passer une série de REPLA pour reconstruire</t>
  </si>
  <si>
    <t>la fig. 2 de Goda avec REPLA</t>
  </si>
  <si>
    <t>Ca tomberait sans doute sur le nuage des points de Goda …</t>
  </si>
  <si>
    <t>C'est ennuyeux.</t>
  </si>
  <si>
    <t>Quand Burcharth pose brutalement Hs/h = 0.6 il n'est pas si loin de la vérité !</t>
  </si>
  <si>
    <t>is deduced from Hs/h = 0.6</t>
  </si>
  <si>
    <t>Computation method</t>
  </si>
  <si>
    <t>Find Rc/h (AdG formula):</t>
  </si>
  <si>
    <t>Let's first consider the processes involved. When a wave is breaking on a submerged structure, some of its energy is reflected back, some of its energy is found in the surf zone between the breaker line and the shore line, but a large part of its energy is "lost". This "lost" energy is converted into turbulence (heat) and into reshaping of the breakwater (hereafter called "BW"). If the BW was made of sand like the neighbouring sea bed, the obstacle would be eradicated in order to come back to the initial situation without any obstacle, as "castles made of sand slip into the sea, eventually" (J. Hendrix). But the BW being made of blocks of stone, the crest of the submerged structure is lowered until waves do not erode the crest anymore. The crest of this equilibrium profile results from a limited reduction of the crest level which obviously depends on the stone size.</t>
  </si>
  <si>
    <t>3a</t>
  </si>
  <si>
    <t>3b</t>
  </si>
  <si>
    <t>The test results are summarised in the table below.</t>
  </si>
  <si>
    <t>? Uncertain as this BW seems to be a broken VERTICAL BW !!</t>
  </si>
  <si>
    <r>
      <t>Some unpublished</t>
    </r>
    <r>
      <rPr>
        <b/>
        <sz val="11"/>
        <color theme="1"/>
        <rFont val="Calibri"/>
        <family val="2"/>
        <scheme val="minor"/>
      </rPr>
      <t xml:space="preserve"> scale model tests</t>
    </r>
    <r>
      <rPr>
        <sz val="11"/>
        <color theme="1"/>
        <rFont val="Calibri"/>
        <family val="2"/>
        <scheme val="minor"/>
      </rPr>
      <t xml:space="preserve"> were performed in a wave flume at SOGREAH's Laboratory in April 1993. The flume was 40 m long, 1 m wide and included 5 glass wall sections for observation. The flume was equipped with a wave generator capable of producing either regular or random waves. The wave maker was controlled by an integrated system for wave generation, data acquisition and analysis. An active wave absorption technology was used for a real-time absorption of the reflected waves at the paddle, allowing control of the incident wave field over the course of an experiment.
The seabed was represented as a non-erodible, concrete surface and was built with a 1.5% slope (1:66). A parabolic section with a mean slope of approximately 6% connected the flume bottom at the wave maker to the sea bed. The parabolic section was built with a mean slope lower than 10% in order to prevent spurious wave reflections.
</t>
    </r>
  </si>
  <si>
    <t>Figure 4. Model test on submerged rubble mound with breaking wave attack</t>
  </si>
  <si>
    <t>Figure 5. Stability of submerged breakwaters with breaking waves.</t>
  </si>
  <si>
    <t>Figure 6. Stable submerged breakwater with breaking waves.</t>
  </si>
  <si>
    <t>Some further information can be derived from "near-bed structures" which are described in the Rock Manual (2007). These structures are obviously low compared to the water depth and rather long in wave propagation direction. They consist typically of bed protection works protecting against local scour or protecting a sealine. Stability is defined on the base of currents: orbital bottom velocity u compared to the Shields mobility parameter (see Rock Manual, 2007, pp 607-608):
eq 5.173 reduces to the following in shallow water where sinh kh = kh and c = √ gh :
u2 = g Hs2 / 4 hc                                                  (3)
where hc: water depth above the near-bed structure (-Rc in this paper).
For  Sd = 10 and N = 3000 (Sd: damage, N: number of waves), eq 5.175 yields:
u2/g Δ Dn =  1                                                     (4)
Combining both, and with Hs = 0.6 hc and Δ = 1.6, the following is found:
hc/Dn = 18  or:   Rc/Dn = -18                        (5)
It may be noted that if hc is close to h (small structure height), then Dn = around 0.05 h.
However, equation (5) is independent of h and would yield a horizontal line in fig. 1 ... which seems odd as we are supposed to be in shallow water: this approach is perhaps still a bit imperfect.</t>
  </si>
  <si>
    <t>Rc/Dn</t>
  </si>
  <si>
    <t>h/ΔDn</t>
  </si>
  <si>
    <r>
      <t xml:space="preserve">The present analysis of long term stability concentrates on the worst possible wave conditions, considering that they will </t>
    </r>
    <r>
      <rPr>
        <i/>
        <sz val="11"/>
        <color theme="1"/>
        <rFont val="Calibri"/>
        <family val="2"/>
        <scheme val="minor"/>
      </rPr>
      <t>eventually</t>
    </r>
    <r>
      <rPr>
        <sz val="11"/>
        <color theme="1"/>
        <rFont val="Calibri"/>
        <family val="2"/>
        <scheme val="minor"/>
      </rPr>
      <t xml:space="preserve"> occur in the long term. This means that </t>
    </r>
    <r>
      <rPr>
        <i/>
        <sz val="11"/>
        <color theme="1"/>
        <rFont val="Calibri"/>
        <family val="2"/>
        <scheme val="minor"/>
      </rPr>
      <t>we consider only cases with waves breaking near the submerged structure</t>
    </r>
    <r>
      <rPr>
        <sz val="11"/>
        <color theme="1"/>
        <rFont val="Calibri"/>
        <family val="2"/>
        <scheme val="minor"/>
      </rPr>
      <t xml:space="preserve">. Hence, the local wave climate must include waves large enough to break on the water depth in front of the submerged structure and breakwaters in very sheltered areas are not considered in this analysis. Similarly, breakwaters located in water depths larger than say 20 m are not likely to be subjected to breaking waves in the Mediterranean area and are therefore not considered in this study.
</t>
    </r>
  </si>
  <si>
    <t>The submerged rubble mound was given a very simple trapezoidal shape with 1:1.5 slopes, 40 mm high, and 100 mm long on the crest. The water depth h was 250 mm for all tests, except the last one when h was reduced to 200 mm. The wave height was increased step by step during the test until full wave breaking occurred and no further increase of significant wave height could be obtained. The wave period was set at Tp = 1.75 s for all tests, except the last one when Tp was increased to 2.5 s. Wave breaking was of the "spilling" type for all tests.
The rubble mound was built with one single type of stone defined by its nominal Dn. Three different stone sizes were tested:
&gt;&gt; D = 12 - 18 mm with average mass = 4.77 g and Dn = 12.2 mm (Test 1)
&gt;&gt; D = 8 - 12 mm with average mass = 1.46 g and Dn = 8.2 mm (Test 2)
&gt;&gt; D = 4 - 8 mm with average mass = 0.34 g and Dn = 5.0 mm (Tests 3, 3a, 3b)
For all stones Δ was 1.65.
The trapezoidal mound structure was rebuilt after Test 1 and Test 2, but no repair was done during Test 3.</t>
  </si>
  <si>
    <t>h (mm)</t>
  </si>
  <si>
    <t>Dn (mm)</t>
  </si>
  <si>
    <t>Hs (mm)</t>
  </si>
  <si>
    <t>Rc (mm)</t>
  </si>
  <si>
    <t xml:space="preserve">
Results of Tests 3a and 3b provide two new experimental points which are shown in the figure below. 
These tests are of course very limited and modest, but they yield most important results enabling a much wider perspective on the processes involved.</t>
  </si>
  <si>
    <r>
      <t xml:space="preserve">Let's now turn to </t>
    </r>
    <r>
      <rPr>
        <b/>
        <sz val="11"/>
        <color theme="1"/>
        <rFont val="Calibri"/>
        <family val="2"/>
        <scheme val="minor"/>
      </rPr>
      <t>wide crested BW.</t>
    </r>
    <r>
      <rPr>
        <sz val="11"/>
        <color theme="1"/>
        <rFont val="Calibri"/>
        <family val="2"/>
        <scheme val="minor"/>
      </rPr>
      <t xml:space="preserve">
An interesting comparison is provided by van der Meer (1992) in his fig. 12. A low crested BW (d = 850 mm high in h = 800 mm water depth, with a crest width of around 1200 mm consisting of stones with Dn = 11 mm, hence a crest width of over 100 Dn) was submitted to waves with Hs/h = 0.24 (pretty far from breaking wave conditions). The initial crest level was Rc = +4.5 Dn (that is Rc/h = +0.06) and the final crest level rose to nearly +10 Dn during the test, generating an S-shaped profile with a slope around 1:3 to 1:5 near SWL.  
He superimposed the final profiles of a non overtopped berm profile and this low crested BW, and it appeared that "a large part of the profile is the same". This shows that, at least for non breaking waves, </t>
    </r>
    <r>
      <rPr>
        <i/>
        <sz val="11"/>
        <color theme="1"/>
        <rFont val="Calibri"/>
        <family val="2"/>
        <scheme val="minor"/>
      </rPr>
      <t>a rubble mound can behave in a similar way to a berm or a gravel beach</t>
    </r>
    <r>
      <rPr>
        <sz val="11"/>
        <color theme="1"/>
        <rFont val="Calibri"/>
        <family val="2"/>
        <scheme val="minor"/>
      </rPr>
      <t>.</t>
    </r>
  </si>
  <si>
    <t>It may be expected that the highest waves will break near the toe of the BW. Probably plunging heavily in that area. With the milder front slopes of Fig. 3b and 3c, the broken wave may further propagate as a translation wave at a speed around √gh, in the order of say 3 to 6 m/s (for resp. h = 1 m and 3.5 m). 
If we consider a flow speed of 3 m/s on a water depth h = 1 m , a stone size of Dn = 0.20 m would be stable; for a flow speed of 6 m/s on a water depth h = 3.5 m, the stable stone size would increase to Dn = 0.60 m.</t>
  </si>
  <si>
    <t>Arthur de Graauw (Director Port Revel, ARTELIA)</t>
  </si>
  <si>
    <t>Stability of overtopped and submerged rubble mound breakwaters</t>
  </si>
  <si>
    <t>The parameters Rc/Dn and Hs/ΔDn (the latter also called stability number Ns) are widely accepted as representative parameters on which breakwater stability under wave attack depends. This includes submerged breakwaters (Rc &lt; 0).
It is widely accepted that random waves are breaking when their height Hs is around 0.6 h (NB: this is valid for mild offshore bed slopes, up to say 1:20, but this breaker index Hs/h may increase to say 0.8 for steeper bed slopes and/or longer waves). See Goda (2010) for a detailed overview on this complex subject.
Anyway, this means that the stability number above can be written as h/ΔDn. 
Hence, we will try to find some relationships between Rc/Dn (or Rc/h) and h/ΔDn.</t>
  </si>
  <si>
    <t>-3 &lt; (d-h)/D50 &lt; 2</t>
  </si>
  <si>
    <t>-3 &lt; d/D50 - h/D50 &lt; 2</t>
  </si>
  <si>
    <t>with d=3.45D50:</t>
  </si>
  <si>
    <t>-3 &lt; 3.45 - h/D50 &lt; 2</t>
  </si>
  <si>
    <t>-6.45 &lt; - h/D50 &lt; -1.45</t>
  </si>
  <si>
    <t>-4 &lt; - h/ΔD50 &lt; -0.9</t>
  </si>
  <si>
    <t>with Δ=1.6:</t>
  </si>
  <si>
    <t>4 &gt; h/ΔD50 &gt; 0.9</t>
  </si>
  <si>
    <t>0.9 &lt; h/ΔD50 &lt; 4</t>
  </si>
  <si>
    <t>Tout ceci reste douteux et pour Burcharth aussi: mieux vaut ne pas aborder ce point de vue dans notre papier</t>
  </si>
  <si>
    <t>et laisser les auteurs du Rock Manual se débrouiller. On a donc supprimé le para ci-dessous.</t>
  </si>
  <si>
    <t>or:</t>
  </si>
  <si>
    <t>Rc/h = 3.45D50/h - 1</t>
  </si>
  <si>
    <t>&gt;&gt;&gt;&gt;</t>
  </si>
  <si>
    <t>-0.46 &lt; Rc/h &lt; 1.38</t>
  </si>
  <si>
    <t>with D50=0.29(h+Rc)</t>
  </si>
  <si>
    <t>april 93-3a</t>
  </si>
  <si>
    <t>april 93-3b</t>
  </si>
  <si>
    <t>&gt;&gt; les near-bed structures (ça reste à voir de plus près !!)</t>
  </si>
  <si>
    <t>= extrapolated Brucharth's rule</t>
  </si>
  <si>
    <t>valid for  1 &lt; h/ΔD50 &lt; 30</t>
  </si>
  <si>
    <t>NB: -43 &lt; Rc/D50</t>
  </si>
  <si>
    <t>-0.93 &lt; Rc/h</t>
  </si>
  <si>
    <r>
      <rPr>
        <b/>
        <sz val="11"/>
        <color theme="1"/>
        <rFont val="Calibri"/>
        <family val="2"/>
        <scheme val="minor"/>
      </rPr>
      <t>Abstract</t>
    </r>
    <r>
      <rPr>
        <sz val="11"/>
        <color theme="1"/>
        <rFont val="Calibri"/>
        <family val="2"/>
        <scheme val="minor"/>
      </rPr>
      <t xml:space="preserve">
The present analysis can be seen as a follow-up of work done previously by Foster (1977), Ahrens (1987), Vidal (1995) and Burcharth (2003). It aims at finding some simple relation between the governing parameters (water depth, structure height, stone size) and the equilibrium position of the crest of rubble mound breakwaters subject to long term wave attack in breaking wave conditions.
Some of van der Meer's tests (1992) and Ota's test reported by Kobayashi (2013) are also taken into account in the present analysis.
A few scale model tests were performed confirming the general trend.
It is concluded that undersized emerging rubble mound breakwaters reduce to submerged breakwaters and that the crest can be located as follows:
Rc/h = 3.45 Dn/h - 1        valid for  1 &lt; h/ΔDn &lt; 30 and for Δ = 1.6.
For a given stone size, submerged breakwaters stabilize to the predicted crest level after long term wave attack in breaking wave conditions.
</t>
    </r>
  </si>
  <si>
    <t xml:space="preserve">
A similar model test performed by Ota is reported by Kobayashi (2013). A reef BW (d = 167 mm high on h = 222 mm water depth, with a crest width of 1100 mm consisting of stones with Dn = 25.2 mm, hence a crest width of 44 Dn) was submitted to around 36 000 waves with Hs/h = 0.52 (which may be considered as breaking wave conditions). The initial crest level was Rc/Dn = -2.18 (that is Rc/h = -0.25) and the final crest level was around SWL: like in the van der Meer test above, the crest rose during the test. Stones were taken from the seaward side of the crest towards the landward side of the crest and heaped up there without falling down on the back slope of the BW. An S-shaped beach profile was building up similar to that of gravel or sand beaches. 
It is also worth noting that the rising of the crest was linear in time and still ongoing after the very long testing time, unlike narrow crested BW that are known for their logarithmic damage progression, i.e. most damage occurs in the early stages of the storm.
</t>
  </si>
  <si>
    <t xml:space="preserve">The large width of the crest might give an explanation as waves seem not to have been able to move the stones as far as the rear slope where they would have fallen down without rising the crest level.
Waves cannot transport stones very far landwards on the crest of the submerged BW, hence a narrow BW will initially be lowered and flattened, until the crest reaches a certain width that does not allow stones to proceed further landwards under wave action. Hence, stones start to heap up and may reach SWL again like in van der Meer's and Ota's tests.
</t>
  </si>
  <si>
    <r>
      <rPr>
        <b/>
        <sz val="11"/>
        <color theme="1"/>
        <rFont val="Calibri"/>
        <family val="2"/>
        <scheme val="minor"/>
      </rPr>
      <t>Definitions</t>
    </r>
    <r>
      <rPr>
        <sz val="11"/>
        <color theme="1"/>
        <rFont val="Calibri"/>
        <family val="2"/>
        <scheme val="minor"/>
      </rPr>
      <t xml:space="preserve"> (from the Rock Manual, 2007):
with:
Hs: significant wave height in front of breakwater (BW) (m)
h: water depth in front of BW (m)
Rc: crest elevation of BW above water level (Rc &lt; 0 if under water) (m)
d: height of BW above sea-bed (m)
Dn: nominal diameter of rock (m) = (M50/ρ)</t>
    </r>
    <r>
      <rPr>
        <vertAlign val="superscript"/>
        <sz val="11"/>
        <color theme="1"/>
        <rFont val="Calibri"/>
        <family val="2"/>
        <scheme val="minor"/>
      </rPr>
      <t>1/3</t>
    </r>
    <r>
      <rPr>
        <sz val="11"/>
        <color theme="1"/>
        <rFont val="Calibri"/>
        <family val="2"/>
        <scheme val="minor"/>
      </rPr>
      <t xml:space="preserve">
ρ: specific mass of rock (kg/m</t>
    </r>
    <r>
      <rPr>
        <vertAlign val="superscript"/>
        <sz val="11"/>
        <color theme="1"/>
        <rFont val="Calibri"/>
        <family val="2"/>
        <scheme val="minor"/>
      </rPr>
      <t>3</t>
    </r>
    <r>
      <rPr>
        <sz val="11"/>
        <color theme="1"/>
        <rFont val="Calibri"/>
        <family val="2"/>
        <scheme val="minor"/>
      </rPr>
      <t>)
M50: median mass of rock (kg)
Δ: relative buoyant density of rock = Sr - 1 = around 1.58 for granite in sea water (-)
Sr: specific mass of rock/specific mass of water = 2.65/1.025 for granite in sea water (-)</t>
    </r>
  </si>
  <si>
    <r>
      <t xml:space="preserve">Different types of breakwater are usually distinguished (see Rock Manual, 2007):
&gt;&gt; </t>
    </r>
    <r>
      <rPr>
        <b/>
        <sz val="11"/>
        <color theme="1"/>
        <rFont val="Calibri"/>
        <family val="2"/>
        <scheme val="minor"/>
      </rPr>
      <t>Emerging BW</t>
    </r>
    <r>
      <rPr>
        <sz val="11"/>
        <color theme="1"/>
        <rFont val="Calibri"/>
        <family val="2"/>
        <scheme val="minor"/>
      </rPr>
      <t xml:space="preserve">, they are stable if:
a) they are not overtopped, i.e. they are high enough, say d &gt; 2 h if waves are breaking at their toe,
b) they have a stable front armour layer, i.e. the stone size is large enough, say Dn &gt; 0.2 h if waves are breaking at their toe.
If an emerging BW is not stable, it will be eroded and eventually become a submerged BW.
&gt;&gt; </t>
    </r>
    <r>
      <rPr>
        <b/>
        <sz val="11"/>
        <color theme="1"/>
        <rFont val="Calibri"/>
        <family val="2"/>
        <scheme val="minor"/>
      </rPr>
      <t>Submerged BW</t>
    </r>
    <r>
      <rPr>
        <sz val="11"/>
        <color theme="1"/>
        <rFont val="Calibri"/>
        <family val="2"/>
        <scheme val="minor"/>
      </rPr>
      <t xml:space="preserve">, have their crest at or below Still Water Level (SWL) and have a narrow crest (say 3 to 5 Dn); they are stable if made of large stones (Burcharth's rule: Dn &gt; 0.3 d) and they are eroded by offshore movement of front slope stones combined with onshore movement of crest stones that fall behind the BW, the result being a lowering of the crest.
If they have a wide crest (say 50 Dn and more) the eroded crest stones remain on the crest, the result being a rise of the crest similarly to the reconstruction of an S-shaped beach.
&gt;&gt; </t>
    </r>
    <r>
      <rPr>
        <b/>
        <sz val="11"/>
        <color theme="1"/>
        <rFont val="Calibri"/>
        <family val="2"/>
        <scheme val="minor"/>
      </rPr>
      <t>Reef BW</t>
    </r>
    <r>
      <rPr>
        <sz val="11"/>
        <color theme="1"/>
        <rFont val="Calibri"/>
        <family val="2"/>
        <scheme val="minor"/>
      </rPr>
      <t xml:space="preserve">, are low crested BW that do not have the traditional multi-layer structure; acoording to Ahrens (1987) "this type of breakwater is little more than a homogeneous pile of stones with individual stone weights similar to those ordinarily used in the armor and first underlayer of conventional breakwaters."
&gt;&gt; </t>
    </r>
    <r>
      <rPr>
        <b/>
        <sz val="11"/>
        <color theme="1"/>
        <rFont val="Calibri"/>
        <family val="2"/>
        <scheme val="minor"/>
      </rPr>
      <t>Berm BW</t>
    </r>
    <r>
      <rPr>
        <sz val="11"/>
        <color theme="1"/>
        <rFont val="Calibri"/>
        <family val="2"/>
        <scheme val="minor"/>
      </rPr>
      <t xml:space="preserve">, they are voluntarily unstable and reshaping into an S-shaped profile; the front slope is locally getting milder, rotating around a pivot point located under water at a distance of: 0.2 h + 0.5 Dn below SWL. The stone size is smaller than for the stable types of BW, typically Dn = 0.04 h to 0.08 h. Hence, the pivot point will be located at 0.22 to 0.24 h below SWL.
&gt;&gt; </t>
    </r>
    <r>
      <rPr>
        <b/>
        <sz val="11"/>
        <color theme="1"/>
        <rFont val="Calibri"/>
        <family val="2"/>
        <scheme val="minor"/>
      </rPr>
      <t>Near-bed structures</t>
    </r>
    <r>
      <rPr>
        <sz val="11"/>
        <color theme="1"/>
        <rFont val="Calibri"/>
        <family val="2"/>
        <scheme val="minor"/>
      </rPr>
      <t xml:space="preserve"> are used for sea bed protection works and their heigth d is small compared to the water depth h; they are stable if made of medium size stones (say Dn = 0.05 h, if waves are breaking over them).</t>
    </r>
  </si>
  <si>
    <r>
      <t xml:space="preserve">Let's first consider </t>
    </r>
    <r>
      <rPr>
        <b/>
        <sz val="11"/>
        <color theme="1"/>
        <rFont val="Calibri"/>
        <family val="2"/>
        <scheme val="minor"/>
      </rPr>
      <t>narrow crested BW</t>
    </r>
    <r>
      <rPr>
        <sz val="11"/>
        <color theme="1"/>
        <rFont val="Calibri"/>
        <family val="2"/>
        <scheme val="minor"/>
      </rPr>
      <t>.
Although several hundreds of scale model tests were carried out on submerged and slightly emerging breakwaters, only (very) few were pushed until waves were breaking at the toe of the structure:
Vidal's data (1995) is for non breaking waves (Hs/h = around 0.3) and therefore of limited interest for this analysis; the same holds for van der Meer's tests (1988);
From Ahrens tests (1987), only the 4 tests with highest waves are taken over here (Hs/h = 0.63);
Burcharth's rule (2003) is for breaking waves and therefore very useful for this analysis;
An interesting study  on model and prototype of the Rosslyn Bay BW is given by Foster (1977).
The range of validity of model tests is usually quite limited: Rc/Dn &gt; -4.3 (Ahrens); Rc/Dn &gt; -3 (Burcharth). The real case reaches Rc/Dn =  -5.2 (Foster). 
Available experimental data is shown in fig. 1 below.</t>
    </r>
  </si>
  <si>
    <r>
      <t>Burcharth's rule for stable submerged BW is (Burcharth, 2003):
Dn = 0.29 d   valid for  -3 &lt; Rc/Dn &lt; 2                            (1)
with d = h + Rc, it can be written as:
Rc/h = +3.45 Dn/h - 1                                                        (2)
This rule assumes Hs/h = 0.6 and Δ = 1.6. 
It can be noted that Rc/h = -1 for very large h or very small Dn, Burcharth's rule is shown on fig. 1 as a straight line in upper left side of the figure.
Burcharth deduced his rule above from an analysis of his equation defining the worst conditions for stability: 
Hs/ΔDn = 0.06(Rc/Dn)</t>
    </r>
    <r>
      <rPr>
        <vertAlign val="superscript"/>
        <sz val="11"/>
        <color theme="1"/>
        <rFont val="Calibri"/>
        <family val="2"/>
        <scheme val="minor"/>
      </rPr>
      <t>2</t>
    </r>
    <r>
      <rPr>
        <sz val="11"/>
        <color theme="1"/>
        <rFont val="Calibri"/>
        <family val="2"/>
        <scheme val="minor"/>
      </rPr>
      <t xml:space="preserve"> - 0.23 (Rc/Dn) + 1.36              (3)
This "Burcharth's equation" is shown in fig. 1 as a curved dotted line. It is obviously very close to his "Burcharth's rule" for Rc/Dn &gt; -3.</t>
    </r>
  </si>
  <si>
    <t>Waves were increased in steps, starting from 45 mm. For Tp = 1.75 s, the highest waves that could be obtained on this water depth were measured as follows: Hs = 133 mm, with H1/10 = 157 mm and Hmax = 178 mm (note Hs/h = 0.53 and Hmax/Hs = 1.33). For Tp = 2.5 s, the measured maximum was Hs = 150 mm, and for h = 200 mm, the measured maximum was Hs = 138 mm (Hs/h = 0.69).
Each step of wave height was maintained for about 4 minutes (around 150 waves) until reshaping of the structure (if any) would stalibise. The last step of each test was maintained for about 45 minutes (around 1500 waves).
Test 1 with Dn = 12.2 mm: the structure was reshaped into a rounded mound that was globally stable with waves Hs = 133 mm.
Test 2 with Dn = 8.2 mm: the structure was reshaped into a rounded mound that was dynamically stable with waves Hs = 133 mm, i.e. some stones were continuously moving back and forth but the overall mound shape was maintained.
Test 3 with Dn = 5.0 mm: the structure was reshaped into an asymetric rounded mound that was dynamically stable with waves Hs = 133 mm, i.e. the front slope was steeper than the rear slope so that the whole mound was moving slightly backwards.
Test 3a with Dn = 5.0 mm and Tp = 2.5 s: the same processes were going on with Hs = 150 mm as the structure had now lost 5 to 8 mm of its initial crest height and the rear toe had moved 50 mm backwards before stabilising.
Test 3b with Dn = 5.0 mm and Tp = 2.5 s and h = 200 mm: the same processes were going on with Hs = 138 mm as the structure had now lost 10 to 15 mm of its initial crest height and the rear toe had moved 90 mm backwards before stabilising.</t>
  </si>
  <si>
    <t xml:space="preserve">Figure 5 is no more than an out-zooming of fig. 1. Existing data shown in fig. 1 is now gathered into the upper left corner of the graph. 
The new data from the model tests very well fits Burcharth's rule (2).
This is the simple relation which was sought at the start of this study. It is shown in fig. 6 below for a few values of Dn.
</t>
  </si>
  <si>
    <t>or Rc/h &gt; - 0.86</t>
  </si>
  <si>
    <t xml:space="preserve">Note that this graph shows a typical "1/h effect" as we have set out a function of  1/h against h. It can nevertheless be seen that for e.g. a water depth of h = 10 m, stones with Dn = 1.5 m will be stable up to 50% of the water depth, Dn =  1 m will be stable up to 35% of the water depth, and Dn = 0.50 m up to nearly 20% of the water depth.
</t>
  </si>
  <si>
    <r>
      <rPr>
        <b/>
        <sz val="11"/>
        <color theme="1"/>
        <rFont val="Calibri"/>
        <family val="2"/>
        <scheme val="minor"/>
      </rPr>
      <t>References:</t>
    </r>
    <r>
      <rPr>
        <sz val="11"/>
        <color theme="1"/>
        <rFont val="Calibri"/>
        <family val="2"/>
        <scheme val="minor"/>
      </rPr>
      <t xml:space="preserve">
</t>
    </r>
    <r>
      <rPr>
        <b/>
        <sz val="11"/>
        <color theme="1"/>
        <rFont val="Calibri"/>
        <family val="2"/>
        <scheme val="minor"/>
      </rPr>
      <t>Ahrens,</t>
    </r>
    <r>
      <rPr>
        <sz val="11"/>
        <color theme="1"/>
        <rFont val="Calibri"/>
        <family val="2"/>
        <scheme val="minor"/>
      </rPr>
      <t xml:space="preserve"> J. (1987) "Characteristics of reef breakwaters", Technical Report CERC 87-17, Vicksburg, MS.
</t>
    </r>
    <r>
      <rPr>
        <b/>
        <sz val="11"/>
        <color theme="1"/>
        <rFont val="Calibri"/>
        <family val="2"/>
        <scheme val="minor"/>
      </rPr>
      <t>Foster,</t>
    </r>
    <r>
      <rPr>
        <sz val="11"/>
        <color theme="1"/>
        <rFont val="Calibri"/>
        <family val="2"/>
        <scheme val="minor"/>
      </rPr>
      <t xml:space="preserve"> D. (1977) "Model simulation of damage to Rosslyn Bay breakwater during cyclone "David"", 6th Australian Hydraulics and Fluid Mehanics Conference, Adelaide.
</t>
    </r>
    <r>
      <rPr>
        <b/>
        <sz val="11"/>
        <color theme="1"/>
        <rFont val="Calibri"/>
        <family val="2"/>
        <scheme val="minor"/>
      </rPr>
      <t>Goda,</t>
    </r>
    <r>
      <rPr>
        <sz val="11"/>
        <color theme="1"/>
        <rFont val="Calibri"/>
        <family val="2"/>
        <scheme val="minor"/>
      </rPr>
      <t xml:space="preserve"> Y. (2010) "Reanalysis of regular and random breaking wave statistics", Coastal Engineering Journal, Vol. 52, No. 1, pp 71–106, Japan.
Kramer, M. &amp; </t>
    </r>
    <r>
      <rPr>
        <b/>
        <sz val="11"/>
        <color theme="1"/>
        <rFont val="Calibri"/>
        <family val="2"/>
        <scheme val="minor"/>
      </rPr>
      <t>Burcharth</t>
    </r>
    <r>
      <rPr>
        <sz val="11"/>
        <color theme="1"/>
        <rFont val="Calibri"/>
        <family val="2"/>
        <scheme val="minor"/>
      </rPr>
      <t xml:space="preserve">, H. (2003) "Stability of low-crested breakwaters in shallow water short crested waves", ASCE, 4th Int. Coastal Structures Conf., Portland, OR.
</t>
    </r>
    <r>
      <rPr>
        <b/>
        <sz val="11"/>
        <color theme="1"/>
        <rFont val="Calibri"/>
        <family val="2"/>
        <scheme val="minor"/>
      </rPr>
      <t>Kobayashi,</t>
    </r>
    <r>
      <rPr>
        <sz val="11"/>
        <color theme="1"/>
        <rFont val="Calibri"/>
        <family val="2"/>
        <scheme val="minor"/>
      </rPr>
      <t xml:space="preserve"> N. (2013) "Deformation of reef breakwaters and wave transmission", ASCE J. Waterway, Port, Coastal, Ocean Eng., 139, 336-340.
</t>
    </r>
    <r>
      <rPr>
        <b/>
        <sz val="11"/>
        <color theme="1"/>
        <rFont val="Calibri"/>
        <family val="2"/>
        <scheme val="minor"/>
      </rPr>
      <t>Rock Manual</t>
    </r>
    <r>
      <rPr>
        <sz val="11"/>
        <color theme="1"/>
        <rFont val="Calibri"/>
        <family val="2"/>
        <scheme val="minor"/>
      </rPr>
      <t xml:space="preserve"> (2007) "The use of rock in hydraulic engineering" (2nd edition), CIRIA, CUR, CETMEF,
Published by C683, CIRIA, London.
</t>
    </r>
    <r>
      <rPr>
        <b/>
        <sz val="11"/>
        <color theme="1"/>
        <rFont val="Calibri"/>
        <family val="2"/>
        <scheme val="minor"/>
      </rPr>
      <t>van der Meer</t>
    </r>
    <r>
      <rPr>
        <sz val="11"/>
        <color theme="1"/>
        <rFont val="Calibri"/>
        <family val="2"/>
        <scheme val="minor"/>
      </rPr>
      <t xml:space="preserve">, J. (1992) "Stability of the seaward slope of berm breakwaters", Coastal Engineering, 16, pp 205-234.
</t>
    </r>
    <r>
      <rPr>
        <b/>
        <sz val="11"/>
        <color theme="1"/>
        <rFont val="Calibri"/>
        <family val="2"/>
        <scheme val="minor"/>
      </rPr>
      <t>Vidal,</t>
    </r>
    <r>
      <rPr>
        <sz val="11"/>
        <color theme="1"/>
        <rFont val="Calibri"/>
        <family val="2"/>
        <scheme val="minor"/>
      </rPr>
      <t xml:space="preserve"> C., Losada, M., and Mansard, E. (1995) "Stability of Low-Crested Rubble-Mound Breakwater Heads", ASCE J. Waterway, Port, Coastal, Ocean Eng., 121(2), 114–122.</t>
    </r>
    <r>
      <rPr>
        <sz val="11"/>
        <color theme="1"/>
        <rFont val="Calibri"/>
        <family val="2"/>
        <scheme val="minor"/>
      </rPr>
      <t xml:space="preserve">
</t>
    </r>
  </si>
  <si>
    <r>
      <rPr>
        <b/>
        <sz val="11"/>
        <color theme="1"/>
        <rFont val="Calibri"/>
        <family val="2"/>
        <scheme val="minor"/>
      </rPr>
      <t>Conclusion:</t>
    </r>
    <r>
      <rPr>
        <sz val="11"/>
        <color theme="1"/>
        <rFont val="Calibri"/>
        <family val="2"/>
        <scheme val="minor"/>
      </rPr>
      <t xml:space="preserve">
It is concluded that undersized emerging rubble mound breakwaters reduce to submerged breakwaters and that the crest can be located as follows:
</t>
    </r>
    <r>
      <rPr>
        <b/>
        <sz val="11"/>
        <color theme="1"/>
        <rFont val="Calibri"/>
        <family val="2"/>
        <scheme val="minor"/>
      </rPr>
      <t>Rc/h = 3.45 Dn/h - 1</t>
    </r>
    <r>
      <rPr>
        <sz val="11"/>
        <color theme="1"/>
        <rFont val="Calibri"/>
        <family val="2"/>
        <scheme val="minor"/>
      </rPr>
      <t xml:space="preserve">      valid for Δ = 1.6 and for 1 &lt; h/ΔDn &lt; 30 (that is -0.86 &lt; Rc/h &lt; 0)
For a given stone size, submerged breakwaters stabilize to the predicted crest level after long term wave attack in breaking wave conditions. In other words, and considering eq (1) again: 
             </t>
    </r>
    <r>
      <rPr>
        <i/>
        <sz val="11"/>
        <color theme="1"/>
        <rFont val="Calibri"/>
        <family val="2"/>
        <scheme val="minor"/>
      </rPr>
      <t xml:space="preserve">                                               in breaking wave conditions, 
             a stable submerged breakwater cannot consist of more than 3 layers of stone</t>
    </r>
    <r>
      <rPr>
        <sz val="11"/>
        <color theme="1"/>
        <rFont val="Calibri"/>
        <family val="2"/>
        <scheme val="minor"/>
      </rPr>
      <t>.
This result is obviously very useful for the design of the construction phases of breakwaters, when the core of the structure may be exposed to storms inducing waves breaking on the structure.
It is also useful to determine the long term equilibrium level of the crest of undersized breakwaters and near-bed rubble mounds protecting pipes.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</si>
</sst>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14" x14ac:knownFonts="1">
    <font>
      <sz val="11"/>
      <color theme="1"/>
      <name val="Calibri"/>
      <family val="2"/>
      <scheme val="minor"/>
    </font>
    <font>
      <sz val="11"/>
      <color theme="1"/>
      <name val="Calibri"/>
      <family val="2"/>
    </font>
    <font>
      <b/>
      <sz val="11"/>
      <color theme="1"/>
      <name val="Calibri"/>
      <family val="2"/>
      <scheme val="minor"/>
    </font>
    <font>
      <b/>
      <sz val="11"/>
      <color theme="1"/>
      <name val="Calibri"/>
      <family val="2"/>
    </font>
    <font>
      <sz val="10"/>
      <color theme="1"/>
      <name val="Arial"/>
      <family val="2"/>
    </font>
    <font>
      <b/>
      <sz val="10"/>
      <color theme="1"/>
      <name val="Arial"/>
      <family val="2"/>
    </font>
    <font>
      <b/>
      <sz val="10"/>
      <color theme="1"/>
      <name val="Calibri"/>
      <family val="2"/>
      <scheme val="minor"/>
    </font>
    <font>
      <b/>
      <sz val="10"/>
      <color theme="1"/>
      <name val="Calibri"/>
      <family val="2"/>
    </font>
    <font>
      <b/>
      <sz val="14"/>
      <color theme="1"/>
      <name val="Calibri"/>
      <family val="2"/>
      <scheme val="minor"/>
    </font>
    <font>
      <i/>
      <sz val="11"/>
      <color theme="1"/>
      <name val="Calibri"/>
      <family val="2"/>
      <scheme val="minor"/>
    </font>
    <font>
      <vertAlign val="subscript"/>
      <sz val="11"/>
      <color theme="1"/>
      <name val="Calibri"/>
      <family val="2"/>
      <scheme val="minor"/>
    </font>
    <font>
      <vertAlign val="superscript"/>
      <sz val="11"/>
      <color theme="1"/>
      <name val="Calibri"/>
      <family val="2"/>
      <scheme val="minor"/>
    </font>
    <font>
      <u/>
      <sz val="11"/>
      <color theme="1"/>
      <name val="Calibri"/>
      <family val="2"/>
      <scheme val="minor"/>
    </font>
    <font>
      <b/>
      <vertAlign val="superscript"/>
      <sz val="11"/>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FF99"/>
        <bgColor indexed="64"/>
      </patternFill>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19">
    <xf numFmtId="0" fontId="0" fillId="0" borderId="0" xfId="0"/>
    <xf numFmtId="0" fontId="0" fillId="0" borderId="0" xfId="0" applyAlignment="1">
      <alignment horizontal="right"/>
    </xf>
    <xf numFmtId="0" fontId="0" fillId="0" borderId="0" xfId="0" applyAlignment="1">
      <alignment horizontal="left"/>
    </xf>
    <xf numFmtId="0" fontId="0" fillId="0" borderId="0" xfId="0" applyAlignment="1">
      <alignment horizontal="center"/>
    </xf>
    <xf numFmtId="2" fontId="0" fillId="0" borderId="0" xfId="0" applyNumberFormat="1" applyAlignment="1">
      <alignment horizontal="center"/>
    </xf>
    <xf numFmtId="0" fontId="1" fillId="0" borderId="0" xfId="0" applyFont="1" applyAlignment="1">
      <alignment horizontal="right"/>
    </xf>
    <xf numFmtId="2" fontId="0" fillId="0" borderId="0" xfId="0" applyNumberFormat="1" applyAlignment="1">
      <alignment horizontal="left"/>
    </xf>
    <xf numFmtId="0" fontId="0" fillId="2" borderId="0" xfId="0" applyFill="1" applyAlignment="1">
      <alignment horizontal="center"/>
    </xf>
    <xf numFmtId="2" fontId="0" fillId="2" borderId="0" xfId="0" applyNumberFormat="1" applyFill="1" applyAlignment="1">
      <alignment horizontal="center"/>
    </xf>
    <xf numFmtId="0" fontId="0" fillId="2" borderId="0" xfId="0" applyFill="1"/>
    <xf numFmtId="0" fontId="2" fillId="0" borderId="0" xfId="0" applyFont="1"/>
    <xf numFmtId="2" fontId="0" fillId="0" borderId="0" xfId="0" applyNumberFormat="1" applyFill="1" applyAlignment="1">
      <alignment horizontal="center"/>
    </xf>
    <xf numFmtId="0" fontId="0" fillId="0" borderId="1" xfId="0" applyBorder="1" applyAlignment="1">
      <alignment horizontal="right"/>
    </xf>
    <xf numFmtId="0" fontId="0" fillId="0" borderId="2" xfId="0" applyBorder="1" applyAlignment="1">
      <alignment horizontal="left"/>
    </xf>
    <xf numFmtId="0" fontId="0" fillId="0" borderId="3" xfId="0" applyBorder="1" applyAlignment="1">
      <alignment horizontal="right"/>
    </xf>
    <xf numFmtId="0" fontId="0" fillId="0" borderId="4" xfId="0"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0" xfId="0" quotePrefix="1"/>
    <xf numFmtId="0" fontId="2" fillId="0" borderId="0" xfId="0" applyFont="1" applyAlignment="1">
      <alignment horizontal="center"/>
    </xf>
    <xf numFmtId="0" fontId="0" fillId="0" borderId="0" xfId="0" applyFill="1" applyAlignment="1">
      <alignment horizontal="center"/>
    </xf>
    <xf numFmtId="0" fontId="0" fillId="0" borderId="0" xfId="0" applyFill="1"/>
    <xf numFmtId="0" fontId="4" fillId="0" borderId="0" xfId="0" applyFont="1" applyAlignment="1">
      <alignment horizontal="justify" vertical="center"/>
    </xf>
    <xf numFmtId="0" fontId="4" fillId="0" borderId="0" xfId="0" applyFont="1" applyAlignment="1">
      <alignment horizontal="left" vertical="center"/>
    </xf>
    <xf numFmtId="0" fontId="4" fillId="0" borderId="0" xfId="0" applyFont="1" applyAlignment="1">
      <alignment horizontal="left"/>
    </xf>
    <xf numFmtId="0" fontId="5" fillId="0" borderId="0" xfId="0" applyFont="1" applyAlignment="1">
      <alignment horizontal="justify" vertical="center"/>
    </xf>
    <xf numFmtId="0" fontId="5" fillId="0" borderId="0" xfId="0" applyFont="1" applyAlignment="1">
      <alignment horizontal="left" vertical="center"/>
    </xf>
    <xf numFmtId="164" fontId="0" fillId="0" borderId="0" xfId="0" applyNumberFormat="1" applyAlignment="1">
      <alignment horizontal="left"/>
    </xf>
    <xf numFmtId="0" fontId="0" fillId="0" borderId="0" xfId="0" applyAlignment="1">
      <alignment vertical="top" wrapText="1"/>
    </xf>
    <xf numFmtId="2" fontId="0" fillId="3" borderId="0" xfId="0" applyNumberFormat="1" applyFill="1" applyAlignment="1">
      <alignment horizontal="left"/>
    </xf>
    <xf numFmtId="0" fontId="0" fillId="3" borderId="0" xfId="0" applyFill="1"/>
    <xf numFmtId="0" fontId="0" fillId="2" borderId="0" xfId="0" applyFill="1" applyAlignment="1">
      <alignment horizontal="right"/>
    </xf>
    <xf numFmtId="0" fontId="6" fillId="0" borderId="0" xfId="0" applyFont="1"/>
    <xf numFmtId="0" fontId="6" fillId="0" borderId="0" xfId="0" applyFont="1" applyAlignment="1">
      <alignment horizontal="left"/>
    </xf>
    <xf numFmtId="0" fontId="0" fillId="0" borderId="0" xfId="0"/>
    <xf numFmtId="0" fontId="2" fillId="2" borderId="0" xfId="0" applyFont="1" applyFill="1"/>
    <xf numFmtId="0" fontId="2" fillId="0" borderId="7" xfId="0" applyFont="1" applyBorder="1"/>
    <xf numFmtId="0" fontId="0" fillId="0" borderId="8" xfId="0" applyBorder="1"/>
    <xf numFmtId="0" fontId="2" fillId="0" borderId="8" xfId="0" applyFont="1" applyBorder="1"/>
    <xf numFmtId="0" fontId="0" fillId="0" borderId="9" xfId="0" applyBorder="1"/>
    <xf numFmtId="2" fontId="2" fillId="2" borderId="0" xfId="0" applyNumberFormat="1" applyFont="1" applyFill="1" applyAlignment="1">
      <alignment horizontal="left"/>
    </xf>
    <xf numFmtId="0" fontId="0" fillId="0" borderId="0" xfId="0" applyBorder="1" applyAlignment="1">
      <alignment horizontal="center"/>
    </xf>
    <xf numFmtId="2" fontId="0" fillId="2" borderId="0" xfId="0" applyNumberFormat="1" applyFill="1" applyAlignment="1">
      <alignment horizontal="left"/>
    </xf>
    <xf numFmtId="0" fontId="0" fillId="0" borderId="0" xfId="0" applyFont="1"/>
    <xf numFmtId="2" fontId="2" fillId="0" borderId="0" xfId="0" applyNumberFormat="1" applyFont="1" applyAlignment="1">
      <alignment horizontal="left"/>
    </xf>
    <xf numFmtId="0" fontId="0" fillId="0" borderId="0" xfId="0" applyAlignment="1">
      <alignment horizontal="left" vertical="top" wrapText="1"/>
    </xf>
    <xf numFmtId="0" fontId="0" fillId="0" borderId="2" xfId="0" applyBorder="1" applyAlignment="1">
      <alignment horizontal="center"/>
    </xf>
    <xf numFmtId="0" fontId="2" fillId="0" borderId="10" xfId="0" applyFont="1" applyBorder="1" applyAlignment="1">
      <alignment horizontal="right"/>
    </xf>
    <xf numFmtId="0" fontId="2" fillId="0" borderId="11" xfId="0" applyFont="1" applyBorder="1"/>
    <xf numFmtId="0" fontId="2" fillId="0" borderId="12" xfId="0" applyFont="1" applyBorder="1"/>
    <xf numFmtId="0" fontId="0" fillId="0" borderId="0" xfId="0" applyFont="1" applyBorder="1" applyAlignment="1">
      <alignment horizontal="right"/>
    </xf>
    <xf numFmtId="0" fontId="0" fillId="0" borderId="0" xfId="0" applyFont="1" applyBorder="1"/>
    <xf numFmtId="164" fontId="0" fillId="2" borderId="0" xfId="0" applyNumberFormat="1" applyFill="1" applyAlignment="1">
      <alignment horizontal="center"/>
    </xf>
    <xf numFmtId="164" fontId="0" fillId="0" borderId="0" xfId="0" applyNumberFormat="1" applyFill="1" applyAlignment="1">
      <alignment horizontal="center"/>
    </xf>
    <xf numFmtId="0" fontId="0" fillId="0" borderId="0" xfId="0" applyFill="1" applyAlignment="1">
      <alignment horizontal="right"/>
    </xf>
    <xf numFmtId="0" fontId="0" fillId="0" borderId="0" xfId="0" applyFill="1" applyAlignment="1">
      <alignment horizontal="left"/>
    </xf>
    <xf numFmtId="0" fontId="0" fillId="0" borderId="0" xfId="0" applyFont="1" applyAlignment="1">
      <alignment horizontal="center"/>
    </xf>
    <xf numFmtId="2" fontId="0" fillId="0" borderId="0" xfId="0" applyNumberFormat="1" applyFill="1"/>
    <xf numFmtId="0" fontId="2" fillId="0" borderId="0" xfId="0" applyFont="1" applyFill="1" applyBorder="1" applyAlignment="1">
      <alignment horizontal="left"/>
    </xf>
    <xf numFmtId="0" fontId="0" fillId="0" borderId="1" xfId="0" applyBorder="1" applyAlignment="1">
      <alignment horizontal="left"/>
    </xf>
    <xf numFmtId="0" fontId="0" fillId="0" borderId="13" xfId="0" applyFill="1" applyBorder="1"/>
    <xf numFmtId="0" fontId="0" fillId="0" borderId="2" xfId="0" applyFill="1" applyBorder="1"/>
    <xf numFmtId="0" fontId="0" fillId="0" borderId="3" xfId="0" applyBorder="1" applyAlignment="1">
      <alignment horizontal="left"/>
    </xf>
    <xf numFmtId="0" fontId="0" fillId="0" borderId="0" xfId="0" applyFill="1" applyBorder="1"/>
    <xf numFmtId="0" fontId="0" fillId="0" borderId="4" xfId="0" applyFill="1" applyBorder="1"/>
    <xf numFmtId="0" fontId="0" fillId="0" borderId="5" xfId="0" applyBorder="1" applyAlignment="1">
      <alignment horizontal="left"/>
    </xf>
    <xf numFmtId="0" fontId="0" fillId="0" borderId="14" xfId="0" applyFill="1" applyBorder="1"/>
    <xf numFmtId="0" fontId="0" fillId="0" borderId="6" xfId="0" applyFill="1" applyBorder="1"/>
    <xf numFmtId="0" fontId="0" fillId="0" borderId="1" xfId="0" applyFill="1" applyBorder="1" applyAlignment="1">
      <alignment horizontal="left"/>
    </xf>
    <xf numFmtId="0" fontId="0" fillId="0" borderId="3" xfId="0" applyFill="1" applyBorder="1" applyAlignment="1">
      <alignment horizontal="left"/>
    </xf>
    <xf numFmtId="0" fontId="0" fillId="0" borderId="5" xfId="0" applyFill="1" applyBorder="1" applyAlignment="1">
      <alignment horizontal="left"/>
    </xf>
    <xf numFmtId="164" fontId="0" fillId="0" borderId="0" xfId="0" applyNumberFormat="1" applyAlignment="1">
      <alignment horizontal="center"/>
    </xf>
    <xf numFmtId="164" fontId="2" fillId="0" borderId="0" xfId="0" applyNumberFormat="1" applyFont="1" applyAlignment="1">
      <alignment horizontal="center"/>
    </xf>
    <xf numFmtId="164" fontId="0" fillId="4" borderId="0" xfId="0" applyNumberFormat="1" applyFill="1" applyAlignment="1">
      <alignment horizontal="center"/>
    </xf>
    <xf numFmtId="164" fontId="2" fillId="0" borderId="0" xfId="0" applyNumberFormat="1" applyFont="1" applyFill="1" applyAlignment="1">
      <alignment horizontal="center"/>
    </xf>
    <xf numFmtId="0" fontId="0" fillId="0" borderId="0" xfId="0" applyAlignment="1">
      <alignment horizontal="left" vertical="top" wrapText="1"/>
    </xf>
    <xf numFmtId="0" fontId="0" fillId="0" borderId="0" xfId="0" applyAlignment="1">
      <alignment horizontal="center" vertical="top" wrapText="1"/>
    </xf>
    <xf numFmtId="0" fontId="9" fillId="0" borderId="0" xfId="0" applyFont="1" applyAlignment="1">
      <alignment horizontal="left" vertical="top" wrapText="1"/>
    </xf>
    <xf numFmtId="0" fontId="9" fillId="0" borderId="0" xfId="0" applyFont="1" applyAlignment="1">
      <alignment horizontal="left" vertical="top"/>
    </xf>
    <xf numFmtId="0" fontId="0" fillId="2" borderId="12" xfId="0" applyFill="1" applyBorder="1"/>
    <xf numFmtId="0" fontId="0" fillId="2" borderId="15" xfId="0" applyFill="1" applyBorder="1" applyAlignment="1">
      <alignment horizontal="left"/>
    </xf>
    <xf numFmtId="2" fontId="0" fillId="2" borderId="16" xfId="0" applyNumberFormat="1" applyFill="1" applyBorder="1" applyAlignment="1">
      <alignment horizontal="center"/>
    </xf>
    <xf numFmtId="2" fontId="0" fillId="2" borderId="17" xfId="0" applyNumberFormat="1" applyFill="1" applyBorder="1" applyAlignment="1">
      <alignment horizontal="center"/>
    </xf>
    <xf numFmtId="0" fontId="0" fillId="2" borderId="11" xfId="0" applyFill="1" applyBorder="1" applyAlignment="1">
      <alignment horizontal="center"/>
    </xf>
    <xf numFmtId="0" fontId="0" fillId="2" borderId="10" xfId="0" applyFill="1" applyBorder="1" applyAlignment="1">
      <alignment horizontal="right"/>
    </xf>
    <xf numFmtId="0" fontId="0" fillId="0" borderId="12" xfId="0" applyBorder="1" applyAlignment="1">
      <alignment horizontal="center"/>
    </xf>
    <xf numFmtId="0" fontId="0" fillId="0" borderId="10" xfId="0" applyBorder="1" applyAlignment="1">
      <alignment horizontal="center"/>
    </xf>
    <xf numFmtId="0" fontId="0" fillId="0" borderId="0" xfId="0" applyAlignment="1">
      <alignment horizontal="center" wrapText="1"/>
    </xf>
    <xf numFmtId="0" fontId="0" fillId="2" borderId="18" xfId="0" applyFill="1" applyBorder="1" applyAlignment="1">
      <alignment horizontal="center" wrapText="1"/>
    </xf>
    <xf numFmtId="0" fontId="0" fillId="0" borderId="0" xfId="0" applyAlignment="1">
      <alignment wrapText="1"/>
    </xf>
    <xf numFmtId="0" fontId="0" fillId="0" borderId="1" xfId="0" applyBorder="1" applyAlignment="1">
      <alignment horizontal="center"/>
    </xf>
    <xf numFmtId="2" fontId="0" fillId="0" borderId="3" xfId="0" applyNumberFormat="1" applyBorder="1" applyAlignment="1">
      <alignment horizontal="center"/>
    </xf>
    <xf numFmtId="2" fontId="0" fillId="0" borderId="5" xfId="0" applyNumberFormat="1" applyBorder="1" applyAlignment="1">
      <alignment horizontal="center"/>
    </xf>
    <xf numFmtId="0" fontId="0" fillId="0" borderId="0" xfId="0" applyAlignment="1">
      <alignment horizontal="center"/>
    </xf>
    <xf numFmtId="20" fontId="0" fillId="0" borderId="0" xfId="0" quotePrefix="1" applyNumberFormat="1" applyAlignment="1">
      <alignment horizontal="right"/>
    </xf>
    <xf numFmtId="164" fontId="0" fillId="0" borderId="0" xfId="0" applyNumberFormat="1"/>
    <xf numFmtId="0" fontId="0" fillId="0" borderId="2" xfId="0" applyBorder="1"/>
    <xf numFmtId="2" fontId="0" fillId="0" borderId="14" xfId="0" applyNumberFormat="1" applyBorder="1" applyAlignment="1">
      <alignment horizontal="center"/>
    </xf>
    <xf numFmtId="2" fontId="0" fillId="0" borderId="0" xfId="0" applyNumberFormat="1" applyBorder="1" applyAlignment="1">
      <alignment horizontal="center"/>
    </xf>
    <xf numFmtId="164" fontId="0" fillId="0" borderId="0" xfId="0" applyNumberFormat="1" applyBorder="1" applyAlignment="1">
      <alignment horizontal="center"/>
    </xf>
    <xf numFmtId="0" fontId="0" fillId="0" borderId="6" xfId="0" applyBorder="1"/>
    <xf numFmtId="0" fontId="0" fillId="0" borderId="13" xfId="0" applyBorder="1" applyAlignment="1">
      <alignment horizontal="center"/>
    </xf>
    <xf numFmtId="0" fontId="0" fillId="0" borderId="14" xfId="0" applyBorder="1" applyAlignment="1">
      <alignment horizontal="center"/>
    </xf>
    <xf numFmtId="0" fontId="12" fillId="0" borderId="1" xfId="0" applyFont="1" applyBorder="1" applyAlignment="1">
      <alignment horizontal="left"/>
    </xf>
    <xf numFmtId="0" fontId="0" fillId="0" borderId="13" xfId="0" applyBorder="1" applyAlignment="1">
      <alignment horizontal="left"/>
    </xf>
    <xf numFmtId="0" fontId="0" fillId="0" borderId="14" xfId="0" applyBorder="1" applyAlignment="1">
      <alignment horizontal="left"/>
    </xf>
    <xf numFmtId="165" fontId="0" fillId="0" borderId="0" xfId="0" applyNumberFormat="1" applyAlignment="1">
      <alignment horizontal="center"/>
    </xf>
    <xf numFmtId="0" fontId="0" fillId="0" borderId="2" xfId="0" applyFill="1" applyBorder="1" applyAlignment="1">
      <alignment horizontal="center"/>
    </xf>
    <xf numFmtId="2" fontId="0" fillId="0" borderId="4" xfId="0" applyNumberFormat="1" applyBorder="1" applyAlignment="1">
      <alignment horizontal="center"/>
    </xf>
    <xf numFmtId="164" fontId="0" fillId="0" borderId="14" xfId="0" applyNumberFormat="1" applyBorder="1" applyAlignment="1">
      <alignment horizontal="center"/>
    </xf>
    <xf numFmtId="2" fontId="0" fillId="0" borderId="6" xfId="0" applyNumberFormat="1" applyBorder="1" applyAlignment="1">
      <alignment horizontal="center"/>
    </xf>
    <xf numFmtId="2" fontId="0" fillId="4" borderId="0" xfId="0" applyNumberFormat="1" applyFill="1" applyAlignment="1">
      <alignment horizontal="center"/>
    </xf>
    <xf numFmtId="0" fontId="0" fillId="0" borderId="0" xfId="0" applyAlignment="1">
      <alignment horizontal="center"/>
    </xf>
    <xf numFmtId="0" fontId="0" fillId="0" borderId="0" xfId="0" applyAlignment="1">
      <alignment horizontal="center"/>
    </xf>
    <xf numFmtId="0" fontId="0" fillId="2" borderId="0" xfId="0" applyFill="1" applyAlignment="1">
      <alignment horizontal="left"/>
    </xf>
    <xf numFmtId="0" fontId="0" fillId="0" borderId="0" xfId="0" applyAlignment="1">
      <alignment horizontal="center"/>
    </xf>
    <xf numFmtId="0" fontId="0" fillId="0" borderId="2" xfId="0" applyBorder="1" applyAlignment="1">
      <alignment horizontal="center"/>
    </xf>
    <xf numFmtId="0" fontId="2" fillId="0" borderId="10" xfId="0" applyFont="1" applyBorder="1"/>
    <xf numFmtId="2" fontId="2" fillId="0" borderId="12" xfId="0" applyNumberFormat="1" applyFont="1" applyBorder="1" applyAlignment="1">
      <alignment horizontal="left"/>
    </xf>
    <xf numFmtId="0" fontId="0" fillId="0" borderId="11" xfId="0" applyBorder="1"/>
    <xf numFmtId="0" fontId="0" fillId="0" borderId="12" xfId="0" applyBorder="1"/>
    <xf numFmtId="0" fontId="0" fillId="0" borderId="20" xfId="0" applyBorder="1"/>
    <xf numFmtId="0" fontId="0" fillId="0" borderId="0" xfId="0" applyBorder="1"/>
    <xf numFmtId="0" fontId="0" fillId="0" borderId="21" xfId="0" applyBorder="1"/>
    <xf numFmtId="2" fontId="0" fillId="0" borderId="21" xfId="0" applyNumberFormat="1" applyBorder="1" applyAlignment="1">
      <alignment horizontal="left"/>
    </xf>
    <xf numFmtId="0" fontId="0" fillId="0" borderId="20" xfId="0" applyBorder="1" applyAlignment="1">
      <alignment horizontal="left"/>
    </xf>
    <xf numFmtId="0" fontId="0" fillId="5" borderId="20" xfId="0" applyFill="1" applyBorder="1"/>
    <xf numFmtId="0" fontId="0" fillId="5" borderId="0" xfId="0" applyFill="1" applyBorder="1"/>
    <xf numFmtId="0" fontId="0" fillId="5" borderId="21" xfId="0" applyFill="1" applyBorder="1" applyAlignment="1">
      <alignment horizontal="left"/>
    </xf>
    <xf numFmtId="2" fontId="0" fillId="5" borderId="21" xfId="0" applyNumberFormat="1" applyFill="1" applyBorder="1" applyAlignment="1">
      <alignment horizontal="left"/>
    </xf>
    <xf numFmtId="0" fontId="2" fillId="0" borderId="20" xfId="0" applyFont="1" applyBorder="1"/>
    <xf numFmtId="164" fontId="0" fillId="0" borderId="21" xfId="0" applyNumberFormat="1" applyBorder="1" applyAlignment="1">
      <alignment horizontal="left"/>
    </xf>
    <xf numFmtId="0" fontId="0" fillId="0" borderId="0" xfId="0" quotePrefix="1" applyNumberFormat="1" applyAlignment="1">
      <alignment horizontal="center"/>
    </xf>
    <xf numFmtId="2" fontId="0" fillId="0" borderId="0" xfId="0" quotePrefix="1" applyNumberFormat="1" applyAlignment="1">
      <alignment horizontal="center"/>
    </xf>
    <xf numFmtId="165" fontId="0" fillId="0" borderId="0" xfId="0" quotePrefix="1" applyNumberFormat="1" applyAlignment="1">
      <alignment horizontal="center"/>
    </xf>
    <xf numFmtId="0" fontId="0" fillId="0" borderId="0" xfId="0" quotePrefix="1" applyNumberFormat="1" applyAlignment="1">
      <alignment horizontal="left"/>
    </xf>
    <xf numFmtId="164" fontId="0" fillId="0" borderId="0" xfId="0" quotePrefix="1" applyNumberFormat="1" applyAlignment="1">
      <alignment horizontal="center"/>
    </xf>
    <xf numFmtId="164" fontId="0" fillId="5" borderId="21" xfId="0" applyNumberFormat="1" applyFill="1" applyBorder="1" applyAlignment="1">
      <alignment horizontal="left"/>
    </xf>
    <xf numFmtId="165" fontId="0" fillId="0" borderId="15" xfId="0" quotePrefix="1" applyNumberFormat="1" applyBorder="1" applyAlignment="1">
      <alignment horizontal="center"/>
    </xf>
    <xf numFmtId="0" fontId="0" fillId="0" borderId="0" xfId="0" applyAlignment="1">
      <alignment horizontal="center"/>
    </xf>
    <xf numFmtId="2" fontId="0" fillId="0" borderId="0" xfId="0" applyNumberFormat="1"/>
    <xf numFmtId="0" fontId="0" fillId="2" borderId="6" xfId="0" applyFill="1" applyBorder="1" applyAlignment="1">
      <alignment horizontal="center"/>
    </xf>
    <xf numFmtId="2" fontId="0" fillId="2" borderId="4" xfId="0" applyNumberFormat="1" applyFill="1" applyBorder="1" applyAlignment="1">
      <alignment horizontal="center"/>
    </xf>
    <xf numFmtId="2" fontId="0" fillId="2" borderId="6" xfId="0" applyNumberFormat="1" applyFill="1" applyBorder="1" applyAlignment="1">
      <alignment horizontal="center"/>
    </xf>
    <xf numFmtId="2" fontId="0" fillId="2" borderId="0" xfId="0" applyNumberFormat="1" applyFill="1" applyBorder="1" applyAlignment="1">
      <alignment horizontal="center"/>
    </xf>
    <xf numFmtId="0" fontId="0" fillId="0" borderId="0" xfId="0" applyAlignment="1">
      <alignment horizontal="center"/>
    </xf>
    <xf numFmtId="165" fontId="0" fillId="0" borderId="21" xfId="0" applyNumberFormat="1" applyBorder="1" applyAlignment="1">
      <alignment horizontal="left"/>
    </xf>
    <xf numFmtId="1" fontId="0" fillId="0" borderId="0" xfId="0" applyNumberFormat="1" applyAlignment="1">
      <alignment horizontal="center"/>
    </xf>
    <xf numFmtId="0" fontId="0" fillId="0" borderId="0" xfId="0" applyAlignment="1">
      <alignment vertical="top"/>
    </xf>
    <xf numFmtId="0" fontId="0" fillId="0" borderId="0" xfId="0" applyAlignment="1">
      <alignment horizontal="center"/>
    </xf>
    <xf numFmtId="0" fontId="0" fillId="0" borderId="0" xfId="0" applyAlignment="1">
      <alignment horizontal="center"/>
    </xf>
    <xf numFmtId="0" fontId="0" fillId="2" borderId="15" xfId="0" applyFill="1" applyBorder="1"/>
    <xf numFmtId="1" fontId="0" fillId="0" borderId="0" xfId="0" applyNumberFormat="1" applyAlignment="1">
      <alignment horizontal="left"/>
    </xf>
    <xf numFmtId="2" fontId="0" fillId="0" borderId="0" xfId="0" applyNumberFormat="1" applyAlignment="1">
      <alignment horizontal="center"/>
    </xf>
    <xf numFmtId="0" fontId="2" fillId="0" borderId="11" xfId="0" quotePrefix="1" applyFont="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3" xfId="0" applyBorder="1"/>
    <xf numFmtId="0" fontId="0" fillId="0" borderId="14" xfId="0" applyBorder="1"/>
    <xf numFmtId="0" fontId="2" fillId="0" borderId="22" xfId="0" applyFont="1" applyBorder="1" applyAlignment="1">
      <alignment horizontal="right"/>
    </xf>
    <xf numFmtId="0" fontId="2" fillId="0" borderId="23" xfId="0" applyFont="1" applyBorder="1" applyAlignment="1">
      <alignment horizontal="center"/>
    </xf>
    <xf numFmtId="1" fontId="0" fillId="0" borderId="4" xfId="0" applyNumberFormat="1" applyBorder="1" applyAlignment="1">
      <alignment horizontal="center"/>
    </xf>
    <xf numFmtId="1" fontId="0" fillId="0" borderId="6" xfId="0" applyNumberFormat="1" applyBorder="1" applyAlignment="1">
      <alignment horizontal="center"/>
    </xf>
    <xf numFmtId="0" fontId="0" fillId="0" borderId="24" xfId="0" applyBorder="1"/>
    <xf numFmtId="0" fontId="0" fillId="0" borderId="25" xfId="0" applyBorder="1"/>
    <xf numFmtId="2" fontId="0" fillId="0" borderId="26" xfId="0" applyNumberFormat="1" applyBorder="1" applyAlignment="1">
      <alignment horizontal="left"/>
    </xf>
    <xf numFmtId="0" fontId="0" fillId="4" borderId="0" xfId="0" applyFill="1" applyAlignment="1">
      <alignment horizontal="center"/>
    </xf>
    <xf numFmtId="165" fontId="0" fillId="4" borderId="0" xfId="0" applyNumberFormat="1" applyFill="1" applyAlignment="1">
      <alignment horizontal="center"/>
    </xf>
    <xf numFmtId="2" fontId="0" fillId="4" borderId="3" xfId="0" applyNumberFormat="1" applyFill="1" applyBorder="1" applyAlignment="1">
      <alignment horizontal="center"/>
    </xf>
    <xf numFmtId="164" fontId="0" fillId="4" borderId="0" xfId="0" applyNumberFormat="1" applyFill="1" applyBorder="1" applyAlignment="1">
      <alignment horizontal="center"/>
    </xf>
    <xf numFmtId="2" fontId="0" fillId="4" borderId="4" xfId="0" applyNumberFormat="1" applyFill="1" applyBorder="1" applyAlignment="1">
      <alignment horizontal="center"/>
    </xf>
    <xf numFmtId="2" fontId="0" fillId="4" borderId="0" xfId="0" applyNumberFormat="1" applyFill="1" applyBorder="1" applyAlignment="1">
      <alignment horizontal="center"/>
    </xf>
    <xf numFmtId="2" fontId="0" fillId="0" borderId="0" xfId="0" applyNumberFormat="1" applyFill="1" applyBorder="1" applyAlignment="1">
      <alignment horizontal="center"/>
    </xf>
    <xf numFmtId="164" fontId="0" fillId="0" borderId="0" xfId="0" applyNumberFormat="1" applyFill="1" applyBorder="1" applyAlignment="1">
      <alignment horizontal="center"/>
    </xf>
    <xf numFmtId="0" fontId="0" fillId="0" borderId="0" xfId="0" applyAlignment="1">
      <alignment horizontal="left" vertical="top" wrapText="1"/>
    </xf>
    <xf numFmtId="0" fontId="9" fillId="0" borderId="0" xfId="0" applyFont="1" applyAlignment="1">
      <alignment horizontal="left" vertical="top" wrapText="1"/>
    </xf>
    <xf numFmtId="0" fontId="0" fillId="0" borderId="19" xfId="0" applyBorder="1" applyAlignment="1">
      <alignment horizontal="center"/>
    </xf>
    <xf numFmtId="1" fontId="0" fillId="0" borderId="0" xfId="0" applyNumberFormat="1" applyFill="1" applyBorder="1" applyAlignment="1">
      <alignment horizontal="center"/>
    </xf>
    <xf numFmtId="1" fontId="0" fillId="4" borderId="0" xfId="0" applyNumberFormat="1" applyFill="1" applyBorder="1" applyAlignment="1">
      <alignment horizontal="center"/>
    </xf>
    <xf numFmtId="164" fontId="0" fillId="0" borderId="4" xfId="0" applyNumberFormat="1" applyFill="1" applyBorder="1" applyAlignment="1">
      <alignment horizontal="center"/>
    </xf>
    <xf numFmtId="0" fontId="0" fillId="4" borderId="0" xfId="0" applyFill="1" applyBorder="1" applyAlignment="1">
      <alignment horizontal="center"/>
    </xf>
    <xf numFmtId="164" fontId="0" fillId="4" borderId="4" xfId="0" applyNumberFormat="1" applyFill="1" applyBorder="1" applyAlignment="1">
      <alignment horizontal="center"/>
    </xf>
    <xf numFmtId="0" fontId="0" fillId="4" borderId="14" xfId="0" applyFill="1" applyBorder="1" applyAlignment="1">
      <alignment horizontal="center"/>
    </xf>
    <xf numFmtId="164" fontId="0" fillId="4" borderId="14" xfId="0" applyNumberFormat="1" applyFill="1" applyBorder="1" applyAlignment="1">
      <alignment horizontal="center"/>
    </xf>
    <xf numFmtId="1" fontId="0" fillId="4" borderId="14" xfId="0" applyNumberFormat="1" applyFill="1" applyBorder="1" applyAlignment="1">
      <alignment horizontal="center"/>
    </xf>
    <xf numFmtId="2" fontId="0" fillId="4" borderId="14" xfId="0" applyNumberFormat="1" applyFill="1" applyBorder="1" applyAlignment="1">
      <alignment horizontal="center"/>
    </xf>
    <xf numFmtId="164" fontId="0" fillId="4" borderId="6" xfId="0" applyNumberFormat="1" applyFill="1" applyBorder="1" applyAlignment="1">
      <alignment horizontal="center"/>
    </xf>
    <xf numFmtId="0" fontId="0" fillId="0" borderId="8" xfId="0" applyFill="1" applyBorder="1" applyAlignment="1">
      <alignment horizontal="center"/>
    </xf>
    <xf numFmtId="0" fontId="0" fillId="0" borderId="9" xfId="0" applyFill="1" applyBorder="1" applyAlignment="1">
      <alignment horizontal="center"/>
    </xf>
    <xf numFmtId="0" fontId="0" fillId="0" borderId="27" xfId="0" applyBorder="1" applyAlignment="1">
      <alignment horizontal="center"/>
    </xf>
    <xf numFmtId="0" fontId="0" fillId="0" borderId="27" xfId="0" applyFill="1" applyBorder="1" applyAlignment="1">
      <alignment horizontal="center"/>
    </xf>
    <xf numFmtId="0" fontId="0" fillId="4" borderId="27" xfId="0" applyFill="1" applyBorder="1" applyAlignment="1">
      <alignment horizontal="center"/>
    </xf>
    <xf numFmtId="0" fontId="0" fillId="4" borderId="28" xfId="0" applyFill="1" applyBorder="1" applyAlignment="1">
      <alignment horizontal="center"/>
    </xf>
    <xf numFmtId="0" fontId="0" fillId="0" borderId="0" xfId="0" applyAlignment="1">
      <alignment horizontal="center"/>
    </xf>
    <xf numFmtId="2" fontId="0" fillId="0" borderId="0" xfId="0" applyNumberFormat="1" applyAlignment="1">
      <alignment horizontal="center"/>
    </xf>
    <xf numFmtId="0" fontId="0" fillId="0" borderId="0" xfId="0" applyAlignment="1">
      <alignment horizontal="center"/>
    </xf>
    <xf numFmtId="2" fontId="0" fillId="0" borderId="0" xfId="0" applyNumberFormat="1" applyAlignment="1">
      <alignment horizontal="center"/>
    </xf>
    <xf numFmtId="0" fontId="0" fillId="0" borderId="7" xfId="0" applyBorder="1"/>
    <xf numFmtId="17" fontId="0" fillId="4" borderId="0" xfId="0" quotePrefix="1" applyNumberFormat="1" applyFill="1" applyAlignment="1">
      <alignment horizontal="center"/>
    </xf>
    <xf numFmtId="0" fontId="8" fillId="0" borderId="0" xfId="0" applyFont="1" applyAlignment="1">
      <alignment horizontal="left" vertical="center"/>
    </xf>
    <xf numFmtId="0" fontId="0" fillId="0" borderId="14" xfId="0" applyFont="1" applyBorder="1" applyAlignment="1">
      <alignment horizontal="left" vertical="top" wrapText="1"/>
    </xf>
    <xf numFmtId="0" fontId="0" fillId="0" borderId="14" xfId="0" applyFont="1" applyBorder="1" applyAlignment="1">
      <alignment horizontal="left" vertical="top"/>
    </xf>
    <xf numFmtId="0" fontId="0" fillId="0" borderId="0" xfId="0" applyAlignment="1">
      <alignment horizontal="left" vertical="top" wrapText="1"/>
    </xf>
    <xf numFmtId="0" fontId="0" fillId="0" borderId="0" xfId="0" applyFont="1" applyAlignment="1">
      <alignment horizontal="left" vertical="top" wrapText="1"/>
    </xf>
    <xf numFmtId="0" fontId="0" fillId="0" borderId="0" xfId="0" applyAlignment="1">
      <alignment horizontal="center" vertical="top" wrapText="1"/>
    </xf>
    <xf numFmtId="0" fontId="0" fillId="0" borderId="13" xfId="0" applyFont="1" applyBorder="1" applyAlignment="1">
      <alignment horizontal="left" vertical="top" wrapText="1"/>
    </xf>
    <xf numFmtId="0" fontId="9" fillId="0" borderId="0" xfId="0" applyFont="1" applyAlignment="1">
      <alignment horizontal="left" vertical="top" wrapText="1"/>
    </xf>
    <xf numFmtId="0" fontId="0" fillId="0" borderId="19" xfId="0" applyBorder="1" applyAlignment="1">
      <alignment horizontal="center"/>
    </xf>
    <xf numFmtId="0" fontId="0" fillId="0" borderId="0" xfId="0" applyAlignment="1">
      <alignment horizontal="center"/>
    </xf>
    <xf numFmtId="0" fontId="2" fillId="0" borderId="10" xfId="0" applyFont="1" applyBorder="1" applyAlignment="1">
      <alignment horizontal="center"/>
    </xf>
    <xf numFmtId="0" fontId="2" fillId="0" borderId="12" xfId="0" applyFont="1" applyBorder="1" applyAlignment="1">
      <alignment horizontal="center"/>
    </xf>
    <xf numFmtId="2" fontId="0" fillId="0" borderId="0" xfId="0" applyNumberFormat="1" applyAlignment="1">
      <alignment horizontal="center"/>
    </xf>
    <xf numFmtId="0" fontId="0" fillId="0" borderId="1" xfId="0" applyBorder="1" applyAlignment="1">
      <alignment horizontal="center"/>
    </xf>
    <xf numFmtId="0" fontId="0" fillId="0" borderId="13" xfId="0" applyBorder="1" applyAlignment="1">
      <alignment horizontal="center"/>
    </xf>
    <xf numFmtId="0" fontId="0" fillId="0" borderId="2" xfId="0" applyBorder="1" applyAlignment="1">
      <alignment horizontal="center"/>
    </xf>
  </cellXfs>
  <cellStyles count="1">
    <cellStyle name="Normal" xfId="0" builtinId="0"/>
  </cellStyles>
  <dxfs count="0"/>
  <tableStyles count="0" defaultTableStyle="TableStyleMedium2" defaultPivotStyle="PivotStyleLight16"/>
  <colors>
    <mruColors>
      <color rgb="FF00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7154313085723"/>
          <c:y val="6.1017617222262975E-2"/>
          <c:w val="0.8590204362940137"/>
          <c:h val="0.6868552480068616"/>
        </c:manualLayout>
      </c:layout>
      <c:scatterChart>
        <c:scatterStyle val="smoothMarker"/>
        <c:varyColors val="0"/>
        <c:ser>
          <c:idx val="2"/>
          <c:order val="0"/>
          <c:tx>
            <c:v>Foster, 1977</c:v>
          </c:tx>
          <c:spPr>
            <a:ln>
              <a:noFill/>
            </a:ln>
          </c:spPr>
          <c:marker>
            <c:symbol val="circle"/>
            <c:size val="5"/>
            <c:spPr>
              <a:solidFill>
                <a:srgbClr val="C00000"/>
              </a:solidFill>
            </c:spPr>
          </c:marker>
          <c:xVal>
            <c:numRef>
              <c:f>Foster!$C$22</c:f>
              <c:numCache>
                <c:formatCode>0\.0</c:formatCode>
                <c:ptCount val="1"/>
                <c:pt idx="0">
                  <c:v>10.126582278481012</c:v>
                </c:pt>
              </c:numCache>
            </c:numRef>
          </c:xVal>
          <c:yVal>
            <c:numRef>
              <c:f>Foster!$C$21</c:f>
              <c:numCache>
                <c:formatCode>General</c:formatCode>
                <c:ptCount val="1"/>
                <c:pt idx="0">
                  <c:v>-5.2</c:v>
                </c:pt>
              </c:numCache>
            </c:numRef>
          </c:yVal>
          <c:smooth val="1"/>
        </c:ser>
        <c:ser>
          <c:idx val="3"/>
          <c:order val="1"/>
          <c:tx>
            <c:v>Ahrens, 1987</c:v>
          </c:tx>
          <c:spPr>
            <a:ln>
              <a:noFill/>
            </a:ln>
          </c:spPr>
          <c:marker>
            <c:symbol val="triangle"/>
            <c:size val="7"/>
            <c:spPr>
              <a:solidFill>
                <a:schemeClr val="accent6">
                  <a:lumMod val="75000"/>
                </a:schemeClr>
              </a:solidFill>
            </c:spPr>
          </c:marker>
          <c:xVal>
            <c:numRef>
              <c:f>Ahrens!$B$38:$E$38</c:f>
              <c:numCache>
                <c:formatCode>0.00</c:formatCode>
                <c:ptCount val="4"/>
                <c:pt idx="0">
                  <c:v>8.2335719212643959</c:v>
                </c:pt>
                <c:pt idx="1">
                  <c:v>8.2335719212643959</c:v>
                </c:pt>
                <c:pt idx="2">
                  <c:v>8.2335719212643959</c:v>
                </c:pt>
                <c:pt idx="3">
                  <c:v>6.0180351464823145</c:v>
                </c:pt>
              </c:numCache>
            </c:numRef>
          </c:xVal>
          <c:yVal>
            <c:numRef>
              <c:f>Ahrens!$B$37:$E$37</c:f>
              <c:numCache>
                <c:formatCode>0.00</c:formatCode>
                <c:ptCount val="4"/>
                <c:pt idx="0">
                  <c:v>-4.3053676919168371</c:v>
                </c:pt>
                <c:pt idx="1">
                  <c:v>-3.7524339359724053</c:v>
                </c:pt>
                <c:pt idx="2">
                  <c:v>-2.8022468019708091</c:v>
                </c:pt>
                <c:pt idx="3">
                  <c:v>-0.21770843945914414</c:v>
                </c:pt>
              </c:numCache>
            </c:numRef>
          </c:yVal>
          <c:smooth val="1"/>
        </c:ser>
        <c:ser>
          <c:idx val="1"/>
          <c:order val="2"/>
          <c:tx>
            <c:v>Burcharth's rule, 2003</c:v>
          </c:tx>
          <c:spPr>
            <a:ln w="28575" cmpd="sng">
              <a:solidFill>
                <a:srgbClr val="C00000"/>
              </a:solidFill>
              <a:prstDash val="solid"/>
            </a:ln>
          </c:spPr>
          <c:marker>
            <c:symbol val="none"/>
          </c:marker>
          <c:xVal>
            <c:numRef>
              <c:f>Burcharth!$H$21:$H$22</c:f>
              <c:numCache>
                <c:formatCode>General</c:formatCode>
                <c:ptCount val="2"/>
                <c:pt idx="0">
                  <c:v>0</c:v>
                </c:pt>
                <c:pt idx="1">
                  <c:v>4</c:v>
                </c:pt>
              </c:numCache>
            </c:numRef>
          </c:xVal>
          <c:yVal>
            <c:numRef>
              <c:f>Burcharth!$G$21:$G$22</c:f>
              <c:numCache>
                <c:formatCode>General</c:formatCode>
                <c:ptCount val="2"/>
                <c:pt idx="0">
                  <c:v>3.45</c:v>
                </c:pt>
                <c:pt idx="1">
                  <c:v>-2.95</c:v>
                </c:pt>
              </c:numCache>
            </c:numRef>
          </c:yVal>
          <c:smooth val="1"/>
        </c:ser>
        <c:ser>
          <c:idx val="5"/>
          <c:order val="3"/>
          <c:tx>
            <c:v>Burcharth's eq, 2003</c:v>
          </c:tx>
          <c:spPr>
            <a:ln w="28575">
              <a:solidFill>
                <a:srgbClr val="00B050"/>
              </a:solidFill>
              <a:prstDash val="sysDash"/>
            </a:ln>
          </c:spPr>
          <c:marker>
            <c:symbol val="none"/>
          </c:marker>
          <c:xVal>
            <c:numRef>
              <c:f>Burcharth!$C$47:$C$62</c:f>
              <c:numCache>
                <c:formatCode>0.00</c:formatCode>
                <c:ptCount val="16"/>
                <c:pt idx="0">
                  <c:v>2.2666666666666671</c:v>
                </c:pt>
                <c:pt idx="1">
                  <c:v>2.3473333333333337</c:v>
                </c:pt>
                <c:pt idx="2">
                  <c:v>2.4359999999999999</c:v>
                </c:pt>
                <c:pt idx="3">
                  <c:v>2.5326666666666671</c:v>
                </c:pt>
                <c:pt idx="4">
                  <c:v>2.6373333333333338</c:v>
                </c:pt>
                <c:pt idx="5">
                  <c:v>2.7500000000000004</c:v>
                </c:pt>
                <c:pt idx="6">
                  <c:v>2.8706666666666671</c:v>
                </c:pt>
                <c:pt idx="7">
                  <c:v>2.9993333333333334</c:v>
                </c:pt>
                <c:pt idx="8">
                  <c:v>3.1360000000000006</c:v>
                </c:pt>
                <c:pt idx="9">
                  <c:v>3.2806666666666668</c:v>
                </c:pt>
                <c:pt idx="10">
                  <c:v>3.4333333333333336</c:v>
                </c:pt>
                <c:pt idx="11">
                  <c:v>3.5940000000000012</c:v>
                </c:pt>
                <c:pt idx="12">
                  <c:v>3.762666666666667</c:v>
                </c:pt>
                <c:pt idx="13">
                  <c:v>3.9393333333333334</c:v>
                </c:pt>
                <c:pt idx="14">
                  <c:v>4.1240000000000006</c:v>
                </c:pt>
                <c:pt idx="15">
                  <c:v>4.3166666666666664</c:v>
                </c:pt>
              </c:numCache>
            </c:numRef>
          </c:xVal>
          <c:yVal>
            <c:numRef>
              <c:f>Burcharth!$A$47:$A$62</c:f>
              <c:numCache>
                <c:formatCode>General</c:formatCode>
                <c:ptCount val="1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numCache>
            </c:numRef>
          </c:yVal>
          <c:smooth val="1"/>
        </c:ser>
        <c:ser>
          <c:idx val="0"/>
          <c:order val="4"/>
          <c:tx>
            <c:v>Vidal, 1995</c:v>
          </c:tx>
          <c:marker>
            <c:symbol val="none"/>
          </c:marker>
          <c:trendline>
            <c:trendlineType val="power"/>
            <c:dispRSqr val="0"/>
            <c:dispEq val="0"/>
          </c:trendline>
          <c:xVal>
            <c:numRef>
              <c:f>Vidal!$B$109:$B$131</c:f>
              <c:numCache>
                <c:formatCode>0.00</c:formatCode>
                <c:ptCount val="23"/>
                <c:pt idx="0">
                  <c:v>4.2412569238025162</c:v>
                </c:pt>
                <c:pt idx="1">
                  <c:v>4.2322335293852005</c:v>
                </c:pt>
                <c:pt idx="2">
                  <c:v>4.2370721611741962</c:v>
                </c:pt>
                <c:pt idx="3">
                  <c:v>4.2557728191695015</c:v>
                </c:pt>
                <c:pt idx="4">
                  <c:v>4.2883355033711181</c:v>
                </c:pt>
                <c:pt idx="5">
                  <c:v>4.3347602137790453</c:v>
                </c:pt>
                <c:pt idx="6">
                  <c:v>4.395046950393283</c:v>
                </c:pt>
                <c:pt idx="7">
                  <c:v>4.4691957132138311</c:v>
                </c:pt>
                <c:pt idx="8">
                  <c:v>4.5572065022406907</c:v>
                </c:pt>
                <c:pt idx="9">
                  <c:v>4.6590793174738607</c:v>
                </c:pt>
                <c:pt idx="10">
                  <c:v>4.7748141589133404</c:v>
                </c:pt>
                <c:pt idx="11">
                  <c:v>4.9044110265591314</c:v>
                </c:pt>
                <c:pt idx="12">
                  <c:v>5.0478699204112338</c:v>
                </c:pt>
                <c:pt idx="13">
                  <c:v>5.2051908404696459</c:v>
                </c:pt>
                <c:pt idx="14">
                  <c:v>5.3763737867343693</c:v>
                </c:pt>
                <c:pt idx="15">
                  <c:v>5.5614187592054014</c:v>
                </c:pt>
                <c:pt idx="16">
                  <c:v>5.7603257578827458</c:v>
                </c:pt>
                <c:pt idx="17">
                  <c:v>5.9730947827664007</c:v>
                </c:pt>
                <c:pt idx="18">
                  <c:v>6.1997258338563661</c:v>
                </c:pt>
                <c:pt idx="19">
                  <c:v>6.4402189111526296</c:v>
                </c:pt>
                <c:pt idx="20">
                  <c:v>6.6945740146552168</c:v>
                </c:pt>
                <c:pt idx="21">
                  <c:v>6.9627911443641128</c:v>
                </c:pt>
                <c:pt idx="22">
                  <c:v>7.2448703002793211</c:v>
                </c:pt>
              </c:numCache>
            </c:numRef>
          </c:xVal>
          <c:yVal>
            <c:numRef>
              <c:f>Vidal!$A$109:$A$131</c:f>
              <c:numCache>
                <c:formatCode>General</c:formatCode>
                <c:ptCount val="23"/>
                <c:pt idx="0">
                  <c:v>2.4</c:v>
                </c:pt>
                <c:pt idx="1">
                  <c:v>2.2000000000000002</c:v>
                </c:pt>
                <c:pt idx="2">
                  <c:v>2</c:v>
                </c:pt>
                <c:pt idx="3">
                  <c:v>1.8</c:v>
                </c:pt>
                <c:pt idx="4">
                  <c:v>1.6</c:v>
                </c:pt>
                <c:pt idx="5">
                  <c:v>1.4</c:v>
                </c:pt>
                <c:pt idx="6">
                  <c:v>1.2</c:v>
                </c:pt>
                <c:pt idx="7">
                  <c:v>1</c:v>
                </c:pt>
                <c:pt idx="8">
                  <c:v>0.8</c:v>
                </c:pt>
                <c:pt idx="9">
                  <c:v>0.6</c:v>
                </c:pt>
                <c:pt idx="10">
                  <c:v>0.4</c:v>
                </c:pt>
                <c:pt idx="11">
                  <c:v>0.2</c:v>
                </c:pt>
                <c:pt idx="12">
                  <c:v>0</c:v>
                </c:pt>
                <c:pt idx="13">
                  <c:v>-0.2</c:v>
                </c:pt>
                <c:pt idx="14">
                  <c:v>-0.4</c:v>
                </c:pt>
                <c:pt idx="15">
                  <c:v>-0.6</c:v>
                </c:pt>
                <c:pt idx="16">
                  <c:v>-0.8</c:v>
                </c:pt>
                <c:pt idx="17">
                  <c:v>-1</c:v>
                </c:pt>
                <c:pt idx="18">
                  <c:v>-1.2</c:v>
                </c:pt>
                <c:pt idx="19">
                  <c:v>-1.3999999999999899</c:v>
                </c:pt>
                <c:pt idx="20">
                  <c:v>-1.5999999999999901</c:v>
                </c:pt>
                <c:pt idx="21">
                  <c:v>-1.7999999999999901</c:v>
                </c:pt>
                <c:pt idx="22">
                  <c:v>-1.99999999999999</c:v>
                </c:pt>
              </c:numCache>
            </c:numRef>
          </c:yVal>
          <c:smooth val="1"/>
        </c:ser>
        <c:dLbls>
          <c:showLegendKey val="0"/>
          <c:showVal val="0"/>
          <c:showCatName val="0"/>
          <c:showSerName val="0"/>
          <c:showPercent val="0"/>
          <c:showBubbleSize val="0"/>
        </c:dLbls>
        <c:axId val="147284736"/>
        <c:axId val="147286656"/>
      </c:scatterChart>
      <c:valAx>
        <c:axId val="147284736"/>
        <c:scaling>
          <c:orientation val="minMax"/>
          <c:max val="12"/>
          <c:min val="2"/>
        </c:scaling>
        <c:delete val="0"/>
        <c:axPos val="b"/>
        <c:majorGridlines/>
        <c:title>
          <c:tx>
            <c:rich>
              <a:bodyPr/>
              <a:lstStyle/>
              <a:p>
                <a:pPr>
                  <a:defRPr sz="1000"/>
                </a:pPr>
                <a:r>
                  <a:rPr lang="en-US" sz="1000" b="1" i="0" baseline="0">
                    <a:effectLst/>
                  </a:rPr>
                  <a:t>h/</a:t>
                </a:r>
                <a:r>
                  <a:rPr lang="el-GR" sz="1000" b="1" i="0" baseline="0">
                    <a:effectLst/>
                  </a:rPr>
                  <a:t>Δ</a:t>
                </a:r>
                <a:r>
                  <a:rPr lang="en-US" sz="1000" b="1" i="0" baseline="0">
                    <a:effectLst/>
                  </a:rPr>
                  <a:t>Dn</a:t>
                </a:r>
                <a:endParaRPr lang="fr-FR" sz="1000">
                  <a:effectLst/>
                </a:endParaRPr>
              </a:p>
            </c:rich>
          </c:tx>
          <c:layout>
            <c:manualLayout>
              <c:xMode val="edge"/>
              <c:yMode val="edge"/>
              <c:x val="0.4765088366092215"/>
              <c:y val="0.77835865040946406"/>
            </c:manualLayout>
          </c:layout>
          <c:overlay val="0"/>
        </c:title>
        <c:numFmt formatCode="0.0" sourceLinked="0"/>
        <c:majorTickMark val="out"/>
        <c:minorTickMark val="none"/>
        <c:tickLblPos val="nextTo"/>
        <c:crossAx val="147286656"/>
        <c:crossesAt val="-10"/>
        <c:crossBetween val="midCat"/>
      </c:valAx>
      <c:valAx>
        <c:axId val="147286656"/>
        <c:scaling>
          <c:orientation val="minMax"/>
          <c:max val="3"/>
          <c:min val="-10"/>
        </c:scaling>
        <c:delete val="0"/>
        <c:axPos val="l"/>
        <c:majorGridlines/>
        <c:title>
          <c:tx>
            <c:rich>
              <a:bodyPr rot="-5400000" vert="horz"/>
              <a:lstStyle/>
              <a:p>
                <a:pPr>
                  <a:defRPr/>
                </a:pPr>
                <a:r>
                  <a:rPr lang="en-US"/>
                  <a:t>Rc/Dn</a:t>
                </a:r>
              </a:p>
            </c:rich>
          </c:tx>
          <c:layout>
            <c:manualLayout>
              <c:xMode val="edge"/>
              <c:yMode val="edge"/>
              <c:x val="5.9902534218435792E-3"/>
              <c:y val="0.39644874324300677"/>
            </c:manualLayout>
          </c:layout>
          <c:overlay val="0"/>
        </c:title>
        <c:numFmt formatCode="General" sourceLinked="1"/>
        <c:majorTickMark val="none"/>
        <c:minorTickMark val="none"/>
        <c:tickLblPos val="nextTo"/>
        <c:crossAx val="147284736"/>
        <c:crossesAt val="1"/>
        <c:crossBetween val="midCat"/>
        <c:majorUnit val="2"/>
      </c:valAx>
    </c:plotArea>
    <c:legend>
      <c:legendPos val="b"/>
      <c:legendEntry>
        <c:idx val="5"/>
        <c:delete val="1"/>
      </c:legendEntry>
      <c:layout>
        <c:manualLayout>
          <c:xMode val="edge"/>
          <c:yMode val="edge"/>
          <c:x val="9.5336097541012757E-2"/>
          <c:y val="0.83413302845341053"/>
          <c:w val="0.88841541750155761"/>
          <c:h val="0.14723238408239808"/>
        </c:manualLayout>
      </c:layout>
      <c:overlay val="0"/>
      <c:spPr>
        <a:solidFill>
          <a:schemeClr val="bg1"/>
        </a:solidFill>
        <a:ln>
          <a:solidFill>
            <a:srgbClr val="0070C0"/>
          </a:solidFill>
        </a:ln>
      </c:spPr>
    </c:legend>
    <c:plotVisOnly val="1"/>
    <c:dispBlanksAs val="gap"/>
    <c:showDLblsOverMax val="0"/>
  </c:chart>
  <c:spPr>
    <a:ln w="28575">
      <a:solidFill>
        <a:srgbClr val="C00000"/>
      </a:solidFill>
    </a:ln>
  </c:sp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m = 1:10</c:v>
          </c:tx>
          <c:spPr>
            <a:ln w="28575">
              <a:noFill/>
            </a:ln>
          </c:spPr>
          <c:xVal>
            <c:numRef>
              <c:f>Allsop!$A$7:$A$14</c:f>
              <c:numCache>
                <c:formatCode>General</c:formatCode>
                <c:ptCount val="8"/>
                <c:pt idx="0">
                  <c:v>1E-3</c:v>
                </c:pt>
                <c:pt idx="1">
                  <c:v>3.0000000000000001E-3</c:v>
                </c:pt>
                <c:pt idx="2">
                  <c:v>5.0000000000000001E-3</c:v>
                </c:pt>
                <c:pt idx="3">
                  <c:v>7.4999999999999997E-3</c:v>
                </c:pt>
                <c:pt idx="4" formatCode="0\.000">
                  <c:v>0.01</c:v>
                </c:pt>
                <c:pt idx="5" formatCode="0\.000">
                  <c:v>1.4999999999999999E-2</c:v>
                </c:pt>
                <c:pt idx="6" formatCode="0\.000">
                  <c:v>0.02</c:v>
                </c:pt>
                <c:pt idx="7" formatCode="0\.000">
                  <c:v>2.5000000000000001E-2</c:v>
                </c:pt>
              </c:numCache>
            </c:numRef>
          </c:xVal>
          <c:yVal>
            <c:numRef>
              <c:f>Allsop!$C$7:$C$14</c:f>
              <c:numCache>
                <c:formatCode>0.00</c:formatCode>
                <c:ptCount val="8"/>
                <c:pt idx="0">
                  <c:v>1.5258458940742288</c:v>
                </c:pt>
                <c:pt idx="1">
                  <c:v>1.1698337283390121</c:v>
                </c:pt>
                <c:pt idx="2">
                  <c:v>0.96744523916281311</c:v>
                </c:pt>
                <c:pt idx="3">
                  <c:v>0.81250456796074899</c:v>
                </c:pt>
                <c:pt idx="4">
                  <c:v>0.71642096954887979</c:v>
                </c:pt>
                <c:pt idx="5">
                  <c:v>0.61241705890338027</c:v>
                </c:pt>
                <c:pt idx="6">
                  <c:v>0.56416460786902423</c:v>
                </c:pt>
                <c:pt idx="7">
                  <c:v>0.5402957751540336</c:v>
                </c:pt>
              </c:numCache>
            </c:numRef>
          </c:yVal>
          <c:smooth val="0"/>
        </c:ser>
        <c:ser>
          <c:idx val="1"/>
          <c:order val="1"/>
          <c:tx>
            <c:v>m = 1:30</c:v>
          </c:tx>
          <c:spPr>
            <a:ln w="28575">
              <a:noFill/>
            </a:ln>
          </c:spPr>
          <c:xVal>
            <c:numRef>
              <c:f>Allsop!$A$7:$A$14</c:f>
              <c:numCache>
                <c:formatCode>General</c:formatCode>
                <c:ptCount val="8"/>
                <c:pt idx="0">
                  <c:v>1E-3</c:v>
                </c:pt>
                <c:pt idx="1">
                  <c:v>3.0000000000000001E-3</c:v>
                </c:pt>
                <c:pt idx="2">
                  <c:v>5.0000000000000001E-3</c:v>
                </c:pt>
                <c:pt idx="3">
                  <c:v>7.4999999999999997E-3</c:v>
                </c:pt>
                <c:pt idx="4" formatCode="0\.000">
                  <c:v>0.01</c:v>
                </c:pt>
                <c:pt idx="5" formatCode="0\.000">
                  <c:v>1.4999999999999999E-2</c:v>
                </c:pt>
                <c:pt idx="6" formatCode="0\.000">
                  <c:v>0.02</c:v>
                </c:pt>
                <c:pt idx="7" formatCode="0\.000">
                  <c:v>2.5000000000000001E-2</c:v>
                </c:pt>
              </c:numCache>
            </c:numRef>
          </c:xVal>
          <c:yVal>
            <c:numRef>
              <c:f>Allsop!$D$7:$D$14</c:f>
              <c:numCache>
                <c:formatCode>0.00</c:formatCode>
                <c:ptCount val="8"/>
                <c:pt idx="0">
                  <c:v>0.7850724562257303</c:v>
                </c:pt>
                <c:pt idx="1">
                  <c:v>0.70726178863319389</c:v>
                </c:pt>
                <c:pt idx="2">
                  <c:v>0.65611469130513989</c:v>
                </c:pt>
                <c:pt idx="3">
                  <c:v>0.61106976694375348</c:v>
                </c:pt>
                <c:pt idx="4">
                  <c:v>0.57877885717140354</c:v>
                </c:pt>
                <c:pt idx="5">
                  <c:v>0.53654556775886619</c:v>
                </c:pt>
                <c:pt idx="6">
                  <c:v>0.51139603208653539</c:v>
                </c:pt>
                <c:pt idx="7">
                  <c:v>0.49568696813873753</c:v>
                </c:pt>
              </c:numCache>
            </c:numRef>
          </c:yVal>
          <c:smooth val="0"/>
        </c:ser>
        <c:ser>
          <c:idx val="2"/>
          <c:order val="2"/>
          <c:tx>
            <c:v>m = 1:50</c:v>
          </c:tx>
          <c:spPr>
            <a:ln w="28575">
              <a:noFill/>
            </a:ln>
          </c:spPr>
          <c:xVal>
            <c:numRef>
              <c:f>Allsop!$A$7:$A$14</c:f>
              <c:numCache>
                <c:formatCode>General</c:formatCode>
                <c:ptCount val="8"/>
                <c:pt idx="0">
                  <c:v>1E-3</c:v>
                </c:pt>
                <c:pt idx="1">
                  <c:v>3.0000000000000001E-3</c:v>
                </c:pt>
                <c:pt idx="2">
                  <c:v>5.0000000000000001E-3</c:v>
                </c:pt>
                <c:pt idx="3">
                  <c:v>7.4999999999999997E-3</c:v>
                </c:pt>
                <c:pt idx="4" formatCode="0\.000">
                  <c:v>0.01</c:v>
                </c:pt>
                <c:pt idx="5" formatCode="0\.000">
                  <c:v>1.4999999999999999E-2</c:v>
                </c:pt>
                <c:pt idx="6" formatCode="0\.000">
                  <c:v>0.02</c:v>
                </c:pt>
                <c:pt idx="7" formatCode="0\.000">
                  <c:v>2.5000000000000001E-2</c:v>
                </c:pt>
              </c:numCache>
            </c:numRef>
          </c:xVal>
          <c:yVal>
            <c:numRef>
              <c:f>Allsop!$E$7:$E$14</c:f>
              <c:numCache>
                <c:formatCode>0.00</c:formatCode>
                <c:ptCount val="8"/>
                <c:pt idx="0">
                  <c:v>1.0243038437264107</c:v>
                </c:pt>
                <c:pt idx="1">
                  <c:v>0.81288176650016353</c:v>
                </c:pt>
                <c:pt idx="2">
                  <c:v>0.692307207952638</c:v>
                </c:pt>
                <c:pt idx="3">
                  <c:v>0.59971665433398758</c:v>
                </c:pt>
                <c:pt idx="4">
                  <c:v>0.54211551177920314</c:v>
                </c:pt>
                <c:pt idx="5">
                  <c:v>0.47950973074301578</c:v>
                </c:pt>
                <c:pt idx="6">
                  <c:v>0.4503043412262609</c:v>
                </c:pt>
                <c:pt idx="7">
                  <c:v>0.4357833265398024</c:v>
                </c:pt>
              </c:numCache>
            </c:numRef>
          </c:yVal>
          <c:smooth val="0"/>
        </c:ser>
        <c:ser>
          <c:idx val="3"/>
          <c:order val="3"/>
          <c:tx>
            <c:v>m = 1:100</c:v>
          </c:tx>
          <c:spPr>
            <a:ln w="28575">
              <a:noFill/>
            </a:ln>
          </c:spPr>
          <c:xVal>
            <c:numRef>
              <c:f>Allsop!$A$7:$A$14</c:f>
              <c:numCache>
                <c:formatCode>General</c:formatCode>
                <c:ptCount val="8"/>
                <c:pt idx="0">
                  <c:v>1E-3</c:v>
                </c:pt>
                <c:pt idx="1">
                  <c:v>3.0000000000000001E-3</c:v>
                </c:pt>
                <c:pt idx="2">
                  <c:v>5.0000000000000001E-3</c:v>
                </c:pt>
                <c:pt idx="3">
                  <c:v>7.4999999999999997E-3</c:v>
                </c:pt>
                <c:pt idx="4" formatCode="0\.000">
                  <c:v>0.01</c:v>
                </c:pt>
                <c:pt idx="5" formatCode="0\.000">
                  <c:v>1.4999999999999999E-2</c:v>
                </c:pt>
                <c:pt idx="6" formatCode="0\.000">
                  <c:v>0.02</c:v>
                </c:pt>
                <c:pt idx="7" formatCode="0\.000">
                  <c:v>2.5000000000000001E-2</c:v>
                </c:pt>
              </c:numCache>
            </c:numRef>
          </c:xVal>
          <c:yVal>
            <c:numRef>
              <c:f>Allsop!$F$7:$F$14</c:f>
              <c:numCache>
                <c:formatCode>General</c:formatCode>
                <c:ptCount val="8"/>
                <c:pt idx="0">
                  <c:v>0.55000000000000004</c:v>
                </c:pt>
                <c:pt idx="1">
                  <c:v>0.55000000000000004</c:v>
                </c:pt>
                <c:pt idx="2">
                  <c:v>0.55000000000000004</c:v>
                </c:pt>
                <c:pt idx="3">
                  <c:v>0.55000000000000004</c:v>
                </c:pt>
                <c:pt idx="4">
                  <c:v>0.55000000000000004</c:v>
                </c:pt>
                <c:pt idx="5">
                  <c:v>0.55000000000000004</c:v>
                </c:pt>
                <c:pt idx="6">
                  <c:v>0.55000000000000004</c:v>
                </c:pt>
                <c:pt idx="7">
                  <c:v>0.55000000000000004</c:v>
                </c:pt>
              </c:numCache>
            </c:numRef>
          </c:yVal>
          <c:smooth val="0"/>
        </c:ser>
        <c:dLbls>
          <c:showLegendKey val="0"/>
          <c:showVal val="0"/>
          <c:showCatName val="0"/>
          <c:showSerName val="0"/>
          <c:showPercent val="0"/>
          <c:showBubbleSize val="0"/>
        </c:dLbls>
        <c:axId val="149352832"/>
        <c:axId val="149354368"/>
      </c:scatterChart>
      <c:valAx>
        <c:axId val="149352832"/>
        <c:scaling>
          <c:orientation val="minMax"/>
          <c:max val="2.5000000000000005E-2"/>
          <c:min val="0"/>
        </c:scaling>
        <c:delete val="0"/>
        <c:axPos val="b"/>
        <c:majorGridlines/>
        <c:numFmt formatCode="General" sourceLinked="1"/>
        <c:majorTickMark val="out"/>
        <c:minorTickMark val="none"/>
        <c:tickLblPos val="nextTo"/>
        <c:crossAx val="149354368"/>
        <c:crosses val="autoZero"/>
        <c:crossBetween val="midCat"/>
        <c:majorUnit val="5.000000000000001E-3"/>
      </c:valAx>
      <c:valAx>
        <c:axId val="149354368"/>
        <c:scaling>
          <c:orientation val="minMax"/>
          <c:max val="1.6"/>
          <c:min val="0.2"/>
        </c:scaling>
        <c:delete val="0"/>
        <c:axPos val="l"/>
        <c:majorGridlines/>
        <c:numFmt formatCode="0.00" sourceLinked="1"/>
        <c:majorTickMark val="out"/>
        <c:minorTickMark val="none"/>
        <c:tickLblPos val="nextTo"/>
        <c:crossAx val="14935283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22061279773187"/>
          <c:y val="4.8716198206147941E-2"/>
          <c:w val="0.77173831880640587"/>
          <c:h val="0.76680302939405287"/>
        </c:manualLayout>
      </c:layout>
      <c:scatterChart>
        <c:scatterStyle val="lineMarker"/>
        <c:varyColors val="0"/>
        <c:ser>
          <c:idx val="0"/>
          <c:order val="0"/>
          <c:tx>
            <c:v>m = 1:10</c:v>
          </c:tx>
          <c:spPr>
            <a:ln w="28575">
              <a:noFill/>
            </a:ln>
          </c:spPr>
          <c:xVal>
            <c:numRef>
              <c:f>Allsop!$A$7:$A$14</c:f>
              <c:numCache>
                <c:formatCode>General</c:formatCode>
                <c:ptCount val="8"/>
                <c:pt idx="0">
                  <c:v>1E-3</c:v>
                </c:pt>
                <c:pt idx="1">
                  <c:v>3.0000000000000001E-3</c:v>
                </c:pt>
                <c:pt idx="2">
                  <c:v>5.0000000000000001E-3</c:v>
                </c:pt>
                <c:pt idx="3">
                  <c:v>7.4999999999999997E-3</c:v>
                </c:pt>
                <c:pt idx="4" formatCode="0\.000">
                  <c:v>0.01</c:v>
                </c:pt>
                <c:pt idx="5" formatCode="0\.000">
                  <c:v>1.4999999999999999E-2</c:v>
                </c:pt>
                <c:pt idx="6" formatCode="0\.000">
                  <c:v>0.02</c:v>
                </c:pt>
                <c:pt idx="7" formatCode="0\.000">
                  <c:v>2.5000000000000001E-2</c:v>
                </c:pt>
              </c:numCache>
            </c:numRef>
          </c:xVal>
          <c:yVal>
            <c:numRef>
              <c:f>Allsop!$I$7:$I$14</c:f>
              <c:numCache>
                <c:formatCode>0.00</c:formatCode>
                <c:ptCount val="8"/>
                <c:pt idx="0">
                  <c:v>1.4940298729502428</c:v>
                </c:pt>
                <c:pt idx="1">
                  <c:v>1.1617511874308817</c:v>
                </c:pt>
                <c:pt idx="2">
                  <c:v>0.97298622224539622</c:v>
                </c:pt>
                <c:pt idx="3">
                  <c:v>0.82857180698952604</c:v>
                </c:pt>
                <c:pt idx="4">
                  <c:v>0.7390779664910585</c:v>
                </c:pt>
                <c:pt idx="5">
                  <c:v>0.64229372351367797</c:v>
                </c:pt>
                <c:pt idx="6">
                  <c:v>0.59744445921551226</c:v>
                </c:pt>
                <c:pt idx="7">
                  <c:v>0.57528382031054537</c:v>
                </c:pt>
              </c:numCache>
            </c:numRef>
          </c:yVal>
          <c:smooth val="0"/>
        </c:ser>
        <c:ser>
          <c:idx val="1"/>
          <c:order val="1"/>
          <c:tx>
            <c:v>m = 1:30</c:v>
          </c:tx>
          <c:spPr>
            <a:ln w="28575">
              <a:noFill/>
            </a:ln>
          </c:spPr>
          <c:xVal>
            <c:numRef>
              <c:f>Allsop!$A$7:$A$14</c:f>
              <c:numCache>
                <c:formatCode>General</c:formatCode>
                <c:ptCount val="8"/>
                <c:pt idx="0">
                  <c:v>1E-3</c:v>
                </c:pt>
                <c:pt idx="1">
                  <c:v>3.0000000000000001E-3</c:v>
                </c:pt>
                <c:pt idx="2">
                  <c:v>5.0000000000000001E-3</c:v>
                </c:pt>
                <c:pt idx="3">
                  <c:v>7.4999999999999997E-3</c:v>
                </c:pt>
                <c:pt idx="4" formatCode="0\.000">
                  <c:v>0.01</c:v>
                </c:pt>
                <c:pt idx="5" formatCode="0\.000">
                  <c:v>1.4999999999999999E-2</c:v>
                </c:pt>
                <c:pt idx="6" formatCode="0\.000">
                  <c:v>0.02</c:v>
                </c:pt>
                <c:pt idx="7" formatCode="0\.000">
                  <c:v>2.5000000000000001E-2</c:v>
                </c:pt>
              </c:numCache>
            </c:numRef>
          </c:xVal>
          <c:yVal>
            <c:numRef>
              <c:f>Allsop!$J$7:$J$14</c:f>
              <c:numCache>
                <c:formatCode>0.00</c:formatCode>
                <c:ptCount val="8"/>
                <c:pt idx="0">
                  <c:v>1.0583237777424384</c:v>
                </c:pt>
                <c:pt idx="1">
                  <c:v>0.87940448553970563</c:v>
                </c:pt>
                <c:pt idx="2">
                  <c:v>0.77776181197829031</c:v>
                </c:pt>
                <c:pt idx="3">
                  <c:v>0.70000020376359096</c:v>
                </c:pt>
                <c:pt idx="4">
                  <c:v>0.65181121272595466</c:v>
                </c:pt>
                <c:pt idx="5">
                  <c:v>0.59969662035351889</c:v>
                </c:pt>
                <c:pt idx="6">
                  <c:v>0.57554701650066054</c:v>
                </c:pt>
                <c:pt idx="7">
                  <c:v>0.56361436478260141</c:v>
                </c:pt>
              </c:numCache>
            </c:numRef>
          </c:yVal>
          <c:smooth val="0"/>
        </c:ser>
        <c:ser>
          <c:idx val="2"/>
          <c:order val="2"/>
          <c:tx>
            <c:v>m = 1:50</c:v>
          </c:tx>
          <c:spPr>
            <a:ln w="28575">
              <a:noFill/>
            </a:ln>
          </c:spPr>
          <c:xVal>
            <c:numRef>
              <c:f>Allsop!$A$7:$A$14</c:f>
              <c:numCache>
                <c:formatCode>General</c:formatCode>
                <c:ptCount val="8"/>
                <c:pt idx="0">
                  <c:v>1E-3</c:v>
                </c:pt>
                <c:pt idx="1">
                  <c:v>3.0000000000000001E-3</c:v>
                </c:pt>
                <c:pt idx="2">
                  <c:v>5.0000000000000001E-3</c:v>
                </c:pt>
                <c:pt idx="3">
                  <c:v>7.4999999999999997E-3</c:v>
                </c:pt>
                <c:pt idx="4" formatCode="0\.000">
                  <c:v>0.01</c:v>
                </c:pt>
                <c:pt idx="5" formatCode="0\.000">
                  <c:v>1.4999999999999999E-2</c:v>
                </c:pt>
                <c:pt idx="6" formatCode="0\.000">
                  <c:v>0.02</c:v>
                </c:pt>
                <c:pt idx="7" formatCode="0\.000">
                  <c:v>2.5000000000000001E-2</c:v>
                </c:pt>
              </c:numCache>
            </c:numRef>
          </c:xVal>
          <c:yVal>
            <c:numRef>
              <c:f>Allsop!$K$7:$K$14</c:f>
              <c:numCache>
                <c:formatCode>0.00</c:formatCode>
                <c:ptCount val="8"/>
                <c:pt idx="0">
                  <c:v>0.84047073013853635</c:v>
                </c:pt>
                <c:pt idx="1">
                  <c:v>0.73823113459411749</c:v>
                </c:pt>
                <c:pt idx="2">
                  <c:v>0.68014960684473735</c:v>
                </c:pt>
                <c:pt idx="3">
                  <c:v>0.63571440215062347</c:v>
                </c:pt>
                <c:pt idx="4">
                  <c:v>0.60817783584340268</c:v>
                </c:pt>
                <c:pt idx="5">
                  <c:v>0.57839806877343936</c:v>
                </c:pt>
                <c:pt idx="6">
                  <c:v>0.56459829514323456</c:v>
                </c:pt>
                <c:pt idx="7">
                  <c:v>0.55777963701862943</c:v>
                </c:pt>
              </c:numCache>
            </c:numRef>
          </c:yVal>
          <c:smooth val="0"/>
        </c:ser>
        <c:ser>
          <c:idx val="3"/>
          <c:order val="3"/>
          <c:tx>
            <c:v>m = 1:100</c:v>
          </c:tx>
          <c:spPr>
            <a:ln w="28575">
              <a:noFill/>
            </a:ln>
          </c:spPr>
          <c:xVal>
            <c:numRef>
              <c:f>Allsop!$A$7:$A$14</c:f>
              <c:numCache>
                <c:formatCode>General</c:formatCode>
                <c:ptCount val="8"/>
                <c:pt idx="0">
                  <c:v>1E-3</c:v>
                </c:pt>
                <c:pt idx="1">
                  <c:v>3.0000000000000001E-3</c:v>
                </c:pt>
                <c:pt idx="2">
                  <c:v>5.0000000000000001E-3</c:v>
                </c:pt>
                <c:pt idx="3">
                  <c:v>7.4999999999999997E-3</c:v>
                </c:pt>
                <c:pt idx="4" formatCode="0\.000">
                  <c:v>0.01</c:v>
                </c:pt>
                <c:pt idx="5" formatCode="0\.000">
                  <c:v>1.4999999999999999E-2</c:v>
                </c:pt>
                <c:pt idx="6" formatCode="0\.000">
                  <c:v>0.02</c:v>
                </c:pt>
                <c:pt idx="7" formatCode="0\.000">
                  <c:v>2.5000000000000001E-2</c:v>
                </c:pt>
              </c:numCache>
            </c:numRef>
          </c:xVal>
          <c:yVal>
            <c:numRef>
              <c:f>Allsop!$L$7:$L$14</c:f>
              <c:numCache>
                <c:formatCode>0.00</c:formatCode>
                <c:ptCount val="8"/>
                <c:pt idx="0">
                  <c:v>0.55000000000000004</c:v>
                </c:pt>
                <c:pt idx="1">
                  <c:v>0.55000000000000004</c:v>
                </c:pt>
                <c:pt idx="2">
                  <c:v>0.55000000000000004</c:v>
                </c:pt>
                <c:pt idx="3">
                  <c:v>0.55000000000000004</c:v>
                </c:pt>
                <c:pt idx="4">
                  <c:v>0.55000000000000004</c:v>
                </c:pt>
                <c:pt idx="5">
                  <c:v>0.55000000000000004</c:v>
                </c:pt>
                <c:pt idx="6">
                  <c:v>0.55000000000000004</c:v>
                </c:pt>
                <c:pt idx="7">
                  <c:v>0.55000000000000004</c:v>
                </c:pt>
              </c:numCache>
            </c:numRef>
          </c:yVal>
          <c:smooth val="0"/>
        </c:ser>
        <c:dLbls>
          <c:showLegendKey val="0"/>
          <c:showVal val="0"/>
          <c:showCatName val="0"/>
          <c:showSerName val="0"/>
          <c:showPercent val="0"/>
          <c:showBubbleSize val="0"/>
        </c:dLbls>
        <c:axId val="149454848"/>
        <c:axId val="149456768"/>
      </c:scatterChart>
      <c:valAx>
        <c:axId val="149454848"/>
        <c:scaling>
          <c:orientation val="minMax"/>
          <c:max val="2.5000000000000005E-2"/>
          <c:min val="0"/>
        </c:scaling>
        <c:delete val="0"/>
        <c:axPos val="b"/>
        <c:majorGridlines/>
        <c:title>
          <c:tx>
            <c:rich>
              <a:bodyPr/>
              <a:lstStyle/>
              <a:p>
                <a:pPr>
                  <a:defRPr/>
                </a:pPr>
                <a:r>
                  <a:rPr lang="en-US"/>
                  <a:t>h/gT2</a:t>
                </a:r>
              </a:p>
            </c:rich>
          </c:tx>
          <c:layout>
            <c:manualLayout>
              <c:xMode val="edge"/>
              <c:yMode val="edge"/>
              <c:x val="0.37682504789876092"/>
              <c:y val="0.91703415244628961"/>
            </c:manualLayout>
          </c:layout>
          <c:overlay val="0"/>
        </c:title>
        <c:numFmt formatCode="General" sourceLinked="1"/>
        <c:majorTickMark val="out"/>
        <c:minorTickMark val="none"/>
        <c:tickLblPos val="nextTo"/>
        <c:crossAx val="149456768"/>
        <c:crosses val="autoZero"/>
        <c:crossBetween val="midCat"/>
        <c:majorUnit val="5.000000000000001E-3"/>
      </c:valAx>
      <c:valAx>
        <c:axId val="149456768"/>
        <c:scaling>
          <c:orientation val="minMax"/>
          <c:max val="1.6"/>
          <c:min val="0.2"/>
        </c:scaling>
        <c:delete val="0"/>
        <c:axPos val="l"/>
        <c:majorGridlines/>
        <c:title>
          <c:tx>
            <c:rich>
              <a:bodyPr rot="-5400000" vert="horz"/>
              <a:lstStyle/>
              <a:p>
                <a:pPr>
                  <a:defRPr/>
                </a:pPr>
                <a:r>
                  <a:rPr lang="en-US"/>
                  <a:t>Hs/h</a:t>
                </a:r>
              </a:p>
            </c:rich>
          </c:tx>
          <c:layout>
            <c:manualLayout>
              <c:xMode val="edge"/>
              <c:yMode val="edge"/>
              <c:x val="1.393574466293317E-2"/>
              <c:y val="0.3695257781750278"/>
            </c:manualLayout>
          </c:layout>
          <c:overlay val="0"/>
        </c:title>
        <c:numFmt formatCode="0.00" sourceLinked="1"/>
        <c:majorTickMark val="out"/>
        <c:minorTickMark val="none"/>
        <c:tickLblPos val="nextTo"/>
        <c:crossAx val="149454848"/>
        <c:crosses val="autoZero"/>
        <c:crossBetween val="midCat"/>
      </c:valAx>
    </c:plotArea>
    <c:legend>
      <c:legendPos val="r"/>
      <c:layout>
        <c:manualLayout>
          <c:xMode val="edge"/>
          <c:yMode val="edge"/>
          <c:x val="0.71416985978356984"/>
          <c:y val="5.0737406173830504E-2"/>
          <c:w val="0.21800440720311032"/>
          <c:h val="0.32468555190453446"/>
        </c:manualLayout>
      </c:layout>
      <c:overlay val="0"/>
      <c:spPr>
        <a:solidFill>
          <a:schemeClr val="bg1"/>
        </a:solidFill>
        <a:ln w="3175">
          <a:noFill/>
        </a:ln>
      </c:sp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53079224601057107"/>
          <c:y val="0.125"/>
        </c:manualLayout>
      </c:layout>
      <c:overlay val="0"/>
    </c:title>
    <c:autoTitleDeleted val="0"/>
    <c:plotArea>
      <c:layout>
        <c:manualLayout>
          <c:layoutTarget val="inner"/>
          <c:xMode val="edge"/>
          <c:yMode val="edge"/>
          <c:x val="0.17451190502013694"/>
          <c:y val="2.8252405949256341E-2"/>
          <c:w val="0.77551578779925234"/>
          <c:h val="0.80935148731408579"/>
        </c:manualLayout>
      </c:layout>
      <c:scatterChart>
        <c:scatterStyle val="lineMarker"/>
        <c:varyColors val="0"/>
        <c:ser>
          <c:idx val="0"/>
          <c:order val="0"/>
          <c:tx>
            <c:v>slope effect</c:v>
          </c:tx>
          <c:spPr>
            <a:ln w="28575">
              <a:noFill/>
            </a:ln>
          </c:spPr>
          <c:trendline>
            <c:trendlineType val="poly"/>
            <c:order val="2"/>
            <c:dispRSqr val="0"/>
            <c:dispEq val="1"/>
            <c:trendlineLbl>
              <c:layout>
                <c:manualLayout>
                  <c:x val="0.26263725298800461"/>
                  <c:y val="-0.48480278506853308"/>
                </c:manualLayout>
              </c:layout>
              <c:numFmt formatCode="General" sourceLinked="0"/>
            </c:trendlineLbl>
          </c:trendline>
          <c:xVal>
            <c:numRef>
              <c:f>Allsop!$I$2:$L$2</c:f>
              <c:numCache>
                <c:formatCode>General</c:formatCode>
                <c:ptCount val="4"/>
                <c:pt idx="0">
                  <c:v>10</c:v>
                </c:pt>
                <c:pt idx="1">
                  <c:v>30</c:v>
                </c:pt>
                <c:pt idx="2">
                  <c:v>50</c:v>
                </c:pt>
                <c:pt idx="3">
                  <c:v>100</c:v>
                </c:pt>
              </c:numCache>
            </c:numRef>
          </c:xVal>
          <c:yVal>
            <c:numRef>
              <c:f>Allsop!$I$4:$L$4</c:f>
              <c:numCache>
                <c:formatCode>0.00</c:formatCode>
                <c:ptCount val="4"/>
                <c:pt idx="0">
                  <c:v>1.3</c:v>
                </c:pt>
                <c:pt idx="1">
                  <c:v>0.7</c:v>
                </c:pt>
                <c:pt idx="2">
                  <c:v>0.4</c:v>
                </c:pt>
                <c:pt idx="3">
                  <c:v>0</c:v>
                </c:pt>
              </c:numCache>
            </c:numRef>
          </c:yVal>
          <c:smooth val="0"/>
        </c:ser>
        <c:dLbls>
          <c:showLegendKey val="0"/>
          <c:showVal val="0"/>
          <c:showCatName val="0"/>
          <c:showSerName val="0"/>
          <c:showPercent val="0"/>
          <c:showBubbleSize val="0"/>
        </c:dLbls>
        <c:axId val="149486208"/>
        <c:axId val="149553920"/>
      </c:scatterChart>
      <c:valAx>
        <c:axId val="149486208"/>
        <c:scaling>
          <c:orientation val="minMax"/>
        </c:scaling>
        <c:delete val="0"/>
        <c:axPos val="b"/>
        <c:majorGridlines/>
        <c:title>
          <c:tx>
            <c:rich>
              <a:bodyPr/>
              <a:lstStyle/>
              <a:p>
                <a:pPr>
                  <a:defRPr/>
                </a:pPr>
                <a:r>
                  <a:rPr lang="en-US"/>
                  <a:t>x = slope m</a:t>
                </a:r>
              </a:p>
            </c:rich>
          </c:tx>
          <c:layout>
            <c:manualLayout>
              <c:xMode val="edge"/>
              <c:yMode val="edge"/>
              <c:x val="0.46546524659624161"/>
              <c:y val="0.91654673374161566"/>
            </c:manualLayout>
          </c:layout>
          <c:overlay val="0"/>
        </c:title>
        <c:numFmt formatCode="General" sourceLinked="1"/>
        <c:majorTickMark val="out"/>
        <c:minorTickMark val="none"/>
        <c:tickLblPos val="nextTo"/>
        <c:crossAx val="149553920"/>
        <c:crosses val="autoZero"/>
        <c:crossBetween val="midCat"/>
      </c:valAx>
      <c:valAx>
        <c:axId val="149553920"/>
        <c:scaling>
          <c:orientation val="minMax"/>
          <c:max val="1.4"/>
          <c:min val="0"/>
        </c:scaling>
        <c:delete val="0"/>
        <c:axPos val="l"/>
        <c:majorGridlines/>
        <c:title>
          <c:tx>
            <c:rich>
              <a:bodyPr rot="-5400000" vert="horz"/>
              <a:lstStyle/>
              <a:p>
                <a:pPr>
                  <a:defRPr/>
                </a:pPr>
                <a:r>
                  <a:rPr lang="en-US"/>
                  <a:t>y = coeff b</a:t>
                </a:r>
              </a:p>
            </c:rich>
          </c:tx>
          <c:layout>
            <c:manualLayout>
              <c:xMode val="edge"/>
              <c:yMode val="edge"/>
              <c:x val="2.9199655828145445E-3"/>
              <c:y val="0.29222222222222222"/>
            </c:manualLayout>
          </c:layout>
          <c:overlay val="0"/>
        </c:title>
        <c:numFmt formatCode="#,##0.00" sourceLinked="0"/>
        <c:majorTickMark val="out"/>
        <c:minorTickMark val="none"/>
        <c:tickLblPos val="nextTo"/>
        <c:crossAx val="149486208"/>
        <c:crosses val="autoZero"/>
        <c:crossBetween val="midCat"/>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17696067808039"/>
          <c:y val="5.3538381159009774E-2"/>
          <c:w val="0.64278937609862985"/>
          <c:h val="0.77644739529977647"/>
        </c:manualLayout>
      </c:layout>
      <c:scatterChart>
        <c:scatterStyle val="lineMarker"/>
        <c:varyColors val="0"/>
        <c:ser>
          <c:idx val="0"/>
          <c:order val="0"/>
          <c:tx>
            <c:v>m = 1:10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Goda!$B$5:$B$14</c:f>
              <c:numCache>
                <c:formatCode>0.00</c:formatCode>
                <c:ptCount val="10"/>
                <c:pt idx="0">
                  <c:v>0.82472386596123171</c:v>
                </c:pt>
                <c:pt idx="1">
                  <c:v>0.79638347199931347</c:v>
                </c:pt>
                <c:pt idx="2">
                  <c:v>0.76934157799690306</c:v>
                </c:pt>
                <c:pt idx="3">
                  <c:v>0.74353125245984009</c:v>
                </c:pt>
                <c:pt idx="4">
                  <c:v>0.71888924389400677</c:v>
                </c:pt>
                <c:pt idx="5">
                  <c:v>0.69535577004255744</c:v>
                </c:pt>
                <c:pt idx="6">
                  <c:v>0.67287431953894317</c:v>
                </c:pt>
                <c:pt idx="7">
                  <c:v>0.65139146522909053</c:v>
                </c:pt>
                <c:pt idx="8">
                  <c:v>0.63085668846170706</c:v>
                </c:pt>
                <c:pt idx="9">
                  <c:v>0.61122221368848662</c:v>
                </c:pt>
              </c:numCache>
            </c:numRef>
          </c:yVal>
          <c:smooth val="0"/>
        </c:ser>
        <c:ser>
          <c:idx val="4"/>
          <c:order val="1"/>
          <c:tx>
            <c:v>m = 1:20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Goda!$C$5:$C$14</c:f>
              <c:numCache>
                <c:formatCode>0.00</c:formatCode>
                <c:ptCount val="10"/>
                <c:pt idx="0">
                  <c:v>0.66126473133164998</c:v>
                </c:pt>
                <c:pt idx="1">
                  <c:v>0.64304510446068686</c:v>
                </c:pt>
                <c:pt idx="2">
                  <c:v>0.62549481073793389</c:v>
                </c:pt>
                <c:pt idx="3">
                  <c:v>0.60858618726311531</c:v>
                </c:pt>
                <c:pt idx="4">
                  <c:v>0.59229279063597573</c:v>
                </c:pt>
                <c:pt idx="5">
                  <c:v>0.57658934095542347</c:v>
                </c:pt>
                <c:pt idx="6">
                  <c:v>0.56145166846377137</c:v>
                </c:pt>
                <c:pt idx="7">
                  <c:v>0.54685666270853939</c:v>
                </c:pt>
                <c:pt idx="8">
                  <c:v>0.53278222410052312</c:v>
                </c:pt>
                <c:pt idx="9">
                  <c:v>0.51920721775277756</c:v>
                </c:pt>
              </c:numCache>
            </c:numRef>
          </c:yVal>
          <c:smooth val="0"/>
        </c:ser>
        <c:ser>
          <c:idx val="1"/>
          <c:order val="2"/>
          <c:tx>
            <c:v>m = 1:30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Goda!$D$5:$D$14</c:f>
              <c:numCache>
                <c:formatCode>0.00</c:formatCode>
                <c:ptCount val="10"/>
                <c:pt idx="0">
                  <c:v>0.6159243158515757</c:v>
                </c:pt>
                <c:pt idx="1">
                  <c:v>0.60011753406585777</c:v>
                </c:pt>
                <c:pt idx="2">
                  <c:v>0.58485162901664989</c:v>
                </c:pt>
                <c:pt idx="3">
                  <c:v>0.57010577950808394</c:v>
                </c:pt>
                <c:pt idx="4">
                  <c:v>0.55586001929634599</c:v>
                </c:pt>
                <c:pt idx="5">
                  <c:v>0.5420952005212214</c:v>
                </c:pt>
                <c:pt idx="6">
                  <c:v>0.5287929587464536</c:v>
                </c:pt>
                <c:pt idx="7">
                  <c:v>0.51593567953666397</c:v>
                </c:pt>
                <c:pt idx="8">
                  <c:v>0.50350646650187358</c:v>
                </c:pt>
                <c:pt idx="9">
                  <c:v>0.49148911074381796</c:v>
                </c:pt>
              </c:numCache>
            </c:numRef>
          </c:yVal>
          <c:smooth val="0"/>
        </c:ser>
        <c:ser>
          <c:idx val="2"/>
          <c:order val="3"/>
          <c:tx>
            <c:v>m = 1:50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Goda!$E$5:$E$14</c:f>
              <c:numCache>
                <c:formatCode>0.00</c:formatCode>
                <c:ptCount val="10"/>
                <c:pt idx="0">
                  <c:v>0.58458237411562886</c:v>
                </c:pt>
                <c:pt idx="1">
                  <c:v>0.57034335111035128</c:v>
                </c:pt>
                <c:pt idx="2">
                  <c:v>0.55656676598693533</c:v>
                </c:pt>
                <c:pt idx="3">
                  <c:v>0.54323572293070232</c:v>
                </c:pt>
                <c:pt idx="4">
                  <c:v>0.53033398459333769</c:v>
                </c:pt>
                <c:pt idx="5">
                  <c:v>0.51784594536179074</c:v>
                </c:pt>
                <c:pt idx="6">
                  <c:v>0.50575660574335712</c:v>
                </c:pt>
                <c:pt idx="7">
                  <c:v>0.49405154781936189</c:v>
                </c:pt>
                <c:pt idx="8">
                  <c:v>0.48271691172192899</c:v>
                </c:pt>
                <c:pt idx="9">
                  <c:v>0.47173937309028635</c:v>
                </c:pt>
              </c:numCache>
            </c:numRef>
          </c:yVal>
          <c:smooth val="0"/>
        </c:ser>
        <c:ser>
          <c:idx val="3"/>
          <c:order val="4"/>
          <c:tx>
            <c:v>m = 1:100</c:v>
          </c:tx>
          <c:spPr>
            <a:ln w="28575">
              <a:noFill/>
            </a:ln>
          </c:spPr>
          <c:xVal>
            <c:numRef>
              <c:f>Goda!$A$5:$A$14</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Goda!$F$5:$F$14</c:f>
              <c:numCache>
                <c:formatCode>0.00</c:formatCode>
                <c:ptCount val="10"/>
                <c:pt idx="0">
                  <c:v>0.56516780407360878</c:v>
                </c:pt>
                <c:pt idx="1">
                  <c:v>0.55185886045855104</c:v>
                </c:pt>
                <c:pt idx="2">
                  <c:v>0.53896779386779681</c:v>
                </c:pt>
                <c:pt idx="3">
                  <c:v>0.52647984363633349</c:v>
                </c:pt>
                <c:pt idx="4">
                  <c:v>0.51438080524932428</c:v>
                </c:pt>
                <c:pt idx="5">
                  <c:v>0.5026570085144566</c:v>
                </c:pt>
                <c:pt idx="6">
                  <c:v>0.49129529661545507</c:v>
                </c:pt>
                <c:pt idx="7">
                  <c:v>0.48028300601044366</c:v>
                </c:pt>
                <c:pt idx="8">
                  <c:v>0.46960794714036602</c:v>
                </c:pt>
                <c:pt idx="9">
                  <c:v>0.4592583859141276</c:v>
                </c:pt>
              </c:numCache>
            </c:numRef>
          </c:yVal>
          <c:smooth val="0"/>
        </c:ser>
        <c:dLbls>
          <c:showLegendKey val="0"/>
          <c:showVal val="0"/>
          <c:showCatName val="0"/>
          <c:showSerName val="0"/>
          <c:showPercent val="0"/>
          <c:showBubbleSize val="0"/>
        </c:dLbls>
        <c:axId val="149647744"/>
        <c:axId val="149649664"/>
      </c:scatterChart>
      <c:valAx>
        <c:axId val="149647744"/>
        <c:scaling>
          <c:orientation val="minMax"/>
          <c:max val="0.1"/>
        </c:scaling>
        <c:delete val="0"/>
        <c:axPos val="b"/>
        <c:majorGridlines/>
        <c:title>
          <c:tx>
            <c:rich>
              <a:bodyPr/>
              <a:lstStyle/>
              <a:p>
                <a:pPr>
                  <a:defRPr/>
                </a:pPr>
                <a:r>
                  <a:rPr lang="en-US"/>
                  <a:t>h/Lo</a:t>
                </a:r>
              </a:p>
            </c:rich>
          </c:tx>
          <c:layout>
            <c:manualLayout>
              <c:xMode val="edge"/>
              <c:yMode val="edge"/>
              <c:x val="0.3852428423511281"/>
              <c:y val="0.91221196949342775"/>
            </c:manualLayout>
          </c:layout>
          <c:overlay val="0"/>
        </c:title>
        <c:numFmt formatCode="0.00" sourceLinked="1"/>
        <c:majorTickMark val="out"/>
        <c:minorTickMark val="none"/>
        <c:tickLblPos val="nextTo"/>
        <c:crossAx val="149649664"/>
        <c:crosses val="autoZero"/>
        <c:crossBetween val="midCat"/>
        <c:majorUnit val="2.0000000000000004E-2"/>
      </c:valAx>
      <c:valAx>
        <c:axId val="149649664"/>
        <c:scaling>
          <c:orientation val="minMax"/>
          <c:max val="1"/>
          <c:min val="0.2"/>
        </c:scaling>
        <c:delete val="0"/>
        <c:axPos val="l"/>
        <c:majorGridlines/>
        <c:title>
          <c:tx>
            <c:rich>
              <a:bodyPr rot="-5400000" vert="horz"/>
              <a:lstStyle/>
              <a:p>
                <a:pPr>
                  <a:defRPr/>
                </a:pPr>
                <a:r>
                  <a:rPr lang="en-US"/>
                  <a:t>Hs/h</a:t>
                </a:r>
              </a:p>
            </c:rich>
          </c:tx>
          <c:overlay val="0"/>
        </c:title>
        <c:numFmt formatCode="0.00" sourceLinked="1"/>
        <c:majorTickMark val="out"/>
        <c:minorTickMark val="none"/>
        <c:tickLblPos val="nextTo"/>
        <c:crossAx val="1496477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92020034192973"/>
          <c:y val="5.2963729374957975E-2"/>
          <c:w val="0.63746803438561006"/>
          <c:h val="0.76453561422217486"/>
        </c:manualLayout>
      </c:layout>
      <c:scatterChart>
        <c:scatterStyle val="lineMarker"/>
        <c:varyColors val="0"/>
        <c:ser>
          <c:idx val="0"/>
          <c:order val="0"/>
          <c:tx>
            <c:v>m = 1:10</c:v>
          </c:tx>
          <c:spPr>
            <a:ln w="28575">
              <a:noFill/>
            </a:ln>
          </c:spPr>
          <c:xVal>
            <c:numRef>
              <c:f>Allsop!$B$7:$B$14</c:f>
              <c:numCache>
                <c:formatCode>0\.000</c:formatCode>
                <c:ptCount val="8"/>
                <c:pt idx="0">
                  <c:v>6.2900000000000005E-3</c:v>
                </c:pt>
                <c:pt idx="1">
                  <c:v>1.8870000000000001E-2</c:v>
                </c:pt>
                <c:pt idx="2">
                  <c:v>3.1449999999999999E-2</c:v>
                </c:pt>
                <c:pt idx="3">
                  <c:v>4.7175000000000002E-2</c:v>
                </c:pt>
                <c:pt idx="4">
                  <c:v>6.2899999999999998E-2</c:v>
                </c:pt>
                <c:pt idx="5">
                  <c:v>9.4350000000000003E-2</c:v>
                </c:pt>
                <c:pt idx="6">
                  <c:v>0.1258</c:v>
                </c:pt>
                <c:pt idx="7">
                  <c:v>0.15725</c:v>
                </c:pt>
              </c:numCache>
            </c:numRef>
          </c:xVal>
          <c:yVal>
            <c:numRef>
              <c:f>Allsop!$C$7:$C$14</c:f>
              <c:numCache>
                <c:formatCode>0.00</c:formatCode>
                <c:ptCount val="8"/>
                <c:pt idx="0">
                  <c:v>1.5258458940742288</c:v>
                </c:pt>
                <c:pt idx="1">
                  <c:v>1.1698337283390121</c:v>
                </c:pt>
                <c:pt idx="2">
                  <c:v>0.96744523916281311</c:v>
                </c:pt>
                <c:pt idx="3">
                  <c:v>0.81250456796074899</c:v>
                </c:pt>
                <c:pt idx="4">
                  <c:v>0.71642096954887979</c:v>
                </c:pt>
                <c:pt idx="5">
                  <c:v>0.61241705890338027</c:v>
                </c:pt>
                <c:pt idx="6">
                  <c:v>0.56416460786902423</c:v>
                </c:pt>
                <c:pt idx="7">
                  <c:v>0.5402957751540336</c:v>
                </c:pt>
              </c:numCache>
            </c:numRef>
          </c:yVal>
          <c:smooth val="0"/>
        </c:ser>
        <c:ser>
          <c:idx val="1"/>
          <c:order val="1"/>
          <c:tx>
            <c:v>m = 1:30</c:v>
          </c:tx>
          <c:spPr>
            <a:ln w="28575">
              <a:noFill/>
            </a:ln>
          </c:spPr>
          <c:xVal>
            <c:numRef>
              <c:f>Allsop!$B$7:$B$14</c:f>
              <c:numCache>
                <c:formatCode>0\.000</c:formatCode>
                <c:ptCount val="8"/>
                <c:pt idx="0">
                  <c:v>6.2900000000000005E-3</c:v>
                </c:pt>
                <c:pt idx="1">
                  <c:v>1.8870000000000001E-2</c:v>
                </c:pt>
                <c:pt idx="2">
                  <c:v>3.1449999999999999E-2</c:v>
                </c:pt>
                <c:pt idx="3">
                  <c:v>4.7175000000000002E-2</c:v>
                </c:pt>
                <c:pt idx="4">
                  <c:v>6.2899999999999998E-2</c:v>
                </c:pt>
                <c:pt idx="5">
                  <c:v>9.4350000000000003E-2</c:v>
                </c:pt>
                <c:pt idx="6">
                  <c:v>0.1258</c:v>
                </c:pt>
                <c:pt idx="7">
                  <c:v>0.15725</c:v>
                </c:pt>
              </c:numCache>
            </c:numRef>
          </c:xVal>
          <c:yVal>
            <c:numRef>
              <c:f>Allsop!$D$7:$D$14</c:f>
              <c:numCache>
                <c:formatCode>0.00</c:formatCode>
                <c:ptCount val="8"/>
                <c:pt idx="0">
                  <c:v>0.7850724562257303</c:v>
                </c:pt>
                <c:pt idx="1">
                  <c:v>0.70726178863319389</c:v>
                </c:pt>
                <c:pt idx="2">
                  <c:v>0.65611469130513989</c:v>
                </c:pt>
                <c:pt idx="3">
                  <c:v>0.61106976694375348</c:v>
                </c:pt>
                <c:pt idx="4">
                  <c:v>0.57877885717140354</c:v>
                </c:pt>
                <c:pt idx="5">
                  <c:v>0.53654556775886619</c:v>
                </c:pt>
                <c:pt idx="6">
                  <c:v>0.51139603208653539</c:v>
                </c:pt>
                <c:pt idx="7">
                  <c:v>0.49568696813873753</c:v>
                </c:pt>
              </c:numCache>
            </c:numRef>
          </c:yVal>
          <c:smooth val="0"/>
        </c:ser>
        <c:ser>
          <c:idx val="2"/>
          <c:order val="2"/>
          <c:tx>
            <c:v>m = 1:50</c:v>
          </c:tx>
          <c:spPr>
            <a:ln w="28575">
              <a:noFill/>
            </a:ln>
          </c:spPr>
          <c:xVal>
            <c:numRef>
              <c:f>Allsop!$B$7:$B$14</c:f>
              <c:numCache>
                <c:formatCode>0\.000</c:formatCode>
                <c:ptCount val="8"/>
                <c:pt idx="0">
                  <c:v>6.2900000000000005E-3</c:v>
                </c:pt>
                <c:pt idx="1">
                  <c:v>1.8870000000000001E-2</c:v>
                </c:pt>
                <c:pt idx="2">
                  <c:v>3.1449999999999999E-2</c:v>
                </c:pt>
                <c:pt idx="3">
                  <c:v>4.7175000000000002E-2</c:v>
                </c:pt>
                <c:pt idx="4">
                  <c:v>6.2899999999999998E-2</c:v>
                </c:pt>
                <c:pt idx="5">
                  <c:v>9.4350000000000003E-2</c:v>
                </c:pt>
                <c:pt idx="6">
                  <c:v>0.1258</c:v>
                </c:pt>
                <c:pt idx="7">
                  <c:v>0.15725</c:v>
                </c:pt>
              </c:numCache>
            </c:numRef>
          </c:xVal>
          <c:yVal>
            <c:numRef>
              <c:f>Allsop!$E$7:$E$14</c:f>
              <c:numCache>
                <c:formatCode>0.00</c:formatCode>
                <c:ptCount val="8"/>
                <c:pt idx="0">
                  <c:v>1.0243038437264107</c:v>
                </c:pt>
                <c:pt idx="1">
                  <c:v>0.81288176650016353</c:v>
                </c:pt>
                <c:pt idx="2">
                  <c:v>0.692307207952638</c:v>
                </c:pt>
                <c:pt idx="3">
                  <c:v>0.59971665433398758</c:v>
                </c:pt>
                <c:pt idx="4">
                  <c:v>0.54211551177920314</c:v>
                </c:pt>
                <c:pt idx="5">
                  <c:v>0.47950973074301578</c:v>
                </c:pt>
                <c:pt idx="6">
                  <c:v>0.4503043412262609</c:v>
                </c:pt>
                <c:pt idx="7">
                  <c:v>0.4357833265398024</c:v>
                </c:pt>
              </c:numCache>
            </c:numRef>
          </c:yVal>
          <c:smooth val="0"/>
        </c:ser>
        <c:dLbls>
          <c:showLegendKey val="0"/>
          <c:showVal val="0"/>
          <c:showCatName val="0"/>
          <c:showSerName val="0"/>
          <c:showPercent val="0"/>
          <c:showBubbleSize val="0"/>
        </c:dLbls>
        <c:axId val="150347776"/>
        <c:axId val="150349696"/>
      </c:scatterChart>
      <c:valAx>
        <c:axId val="150347776"/>
        <c:scaling>
          <c:orientation val="minMax"/>
          <c:max val="0.1"/>
          <c:min val="0"/>
        </c:scaling>
        <c:delete val="0"/>
        <c:axPos val="b"/>
        <c:majorGridlines/>
        <c:title>
          <c:tx>
            <c:rich>
              <a:bodyPr/>
              <a:lstStyle/>
              <a:p>
                <a:pPr>
                  <a:defRPr/>
                </a:pPr>
                <a:r>
                  <a:rPr lang="en-US"/>
                  <a:t>h/Lo</a:t>
                </a:r>
              </a:p>
            </c:rich>
          </c:tx>
          <c:layout>
            <c:manualLayout>
              <c:xMode val="edge"/>
              <c:yMode val="edge"/>
              <c:x val="0.41379036336054326"/>
              <c:y val="0.90361338979211847"/>
            </c:manualLayout>
          </c:layout>
          <c:overlay val="0"/>
        </c:title>
        <c:numFmt formatCode="#,##0.00" sourceLinked="0"/>
        <c:majorTickMark val="out"/>
        <c:minorTickMark val="none"/>
        <c:tickLblPos val="nextTo"/>
        <c:crossAx val="150349696"/>
        <c:crosses val="autoZero"/>
        <c:crossBetween val="midCat"/>
        <c:majorUnit val="2.0000000000000004E-2"/>
      </c:valAx>
      <c:valAx>
        <c:axId val="150349696"/>
        <c:scaling>
          <c:orientation val="minMax"/>
          <c:max val="1"/>
          <c:min val="0.2"/>
        </c:scaling>
        <c:delete val="0"/>
        <c:axPos val="l"/>
        <c:majorGridlines/>
        <c:title>
          <c:tx>
            <c:rich>
              <a:bodyPr rot="-5400000" vert="horz"/>
              <a:lstStyle/>
              <a:p>
                <a:pPr>
                  <a:defRPr/>
                </a:pPr>
                <a:r>
                  <a:rPr lang="en-US"/>
                  <a:t>Hs/h</a:t>
                </a:r>
              </a:p>
            </c:rich>
          </c:tx>
          <c:layout>
            <c:manualLayout>
              <c:xMode val="edge"/>
              <c:yMode val="edge"/>
              <c:x val="1.5290519877675841E-2"/>
              <c:y val="0.373311241636263"/>
            </c:manualLayout>
          </c:layout>
          <c:overlay val="0"/>
        </c:title>
        <c:numFmt formatCode="0.00" sourceLinked="1"/>
        <c:majorTickMark val="out"/>
        <c:minorTickMark val="none"/>
        <c:tickLblPos val="nextTo"/>
        <c:crossAx val="15034777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Weggelhamm</a:t>
            </a:r>
          </a:p>
        </c:rich>
      </c:tx>
      <c:layout>
        <c:manualLayout>
          <c:xMode val="edge"/>
          <c:yMode val="edge"/>
          <c:x val="0.64514532013773507"/>
          <c:y val="2.8933097717170998E-2"/>
        </c:manualLayout>
      </c:layout>
      <c:overlay val="0"/>
      <c:spPr>
        <a:solidFill>
          <a:schemeClr val="bg1"/>
        </a:solidFill>
        <a:ln>
          <a:solidFill>
            <a:sysClr val="windowText" lastClr="000000"/>
          </a:solidFill>
        </a:ln>
      </c:spPr>
    </c:title>
    <c:autoTitleDeleted val="0"/>
    <c:plotArea>
      <c:layout>
        <c:manualLayout>
          <c:layoutTarget val="inner"/>
          <c:xMode val="edge"/>
          <c:yMode val="edge"/>
          <c:x val="0.13917696067808039"/>
          <c:y val="5.3538381159009774E-2"/>
          <c:w val="0.64278937609862985"/>
          <c:h val="0.77644739529977647"/>
        </c:manualLayout>
      </c:layout>
      <c:scatterChart>
        <c:scatterStyle val="lineMarker"/>
        <c:varyColors val="0"/>
        <c:ser>
          <c:idx val="0"/>
          <c:order val="0"/>
          <c:tx>
            <c:v>m = 1:10</c:v>
          </c:tx>
          <c:spPr>
            <a:ln w="28575">
              <a:noFill/>
            </a:ln>
          </c:spPr>
          <c:xVal>
            <c:numRef>
              <c:f>Goda!$I$6:$I$15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Goda!$K$6:$K$15</c:f>
              <c:numCache>
                <c:formatCode>0.00</c:formatCode>
                <c:ptCount val="10"/>
                <c:pt idx="0">
                  <c:v>1.1819844013529861</c:v>
                </c:pt>
                <c:pt idx="1">
                  <c:v>1.1032011945642841</c:v>
                </c:pt>
                <c:pt idx="2">
                  <c:v>1.0323408907176213</c:v>
                </c:pt>
                <c:pt idx="3">
                  <c:v>0.96826554824040745</c:v>
                </c:pt>
                <c:pt idx="4">
                  <c:v>0.91004518785155375</c:v>
                </c:pt>
                <c:pt idx="5">
                  <c:v>0.85691236106895829</c:v>
                </c:pt>
                <c:pt idx="6">
                  <c:v>0.80822813010010464</c:v>
                </c:pt>
                <c:pt idx="7">
                  <c:v>0.76345624947997692</c:v>
                </c:pt>
                <c:pt idx="8">
                  <c:v>0.722143331694031</c:v>
                </c:pt>
                <c:pt idx="9">
                  <c:v>0.68390343888913463</c:v>
                </c:pt>
              </c:numCache>
            </c:numRef>
          </c:yVal>
          <c:smooth val="0"/>
        </c:ser>
        <c:ser>
          <c:idx val="4"/>
          <c:order val="1"/>
          <c:tx>
            <c:v>m = 1:20</c:v>
          </c:tx>
          <c:spPr>
            <a:ln w="28575">
              <a:noFill/>
            </a:ln>
          </c:spPr>
          <c:xVal>
            <c:numRef>
              <c:f>Goda!$I$6:$I$15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Goda!$M$6:$M$15</c:f>
              <c:numCache>
                <c:formatCode>0.00</c:formatCode>
                <c:ptCount val="10"/>
                <c:pt idx="0">
                  <c:v>0.99589126036948594</c:v>
                </c:pt>
                <c:pt idx="1">
                  <c:v>0.94286359795276531</c:v>
                </c:pt>
                <c:pt idx="2">
                  <c:v>0.89385036449054345</c:v>
                </c:pt>
                <c:pt idx="3">
                  <c:v>0.84841232106542142</c:v>
                </c:pt>
                <c:pt idx="4">
                  <c:v>0.80617205305099593</c:v>
                </c:pt>
                <c:pt idx="5">
                  <c:v>0.76680346240053543</c:v>
                </c:pt>
                <c:pt idx="6">
                  <c:v>0.7300233325624812</c:v>
                </c:pt>
                <c:pt idx="7">
                  <c:v>0.69558450424476059</c:v>
                </c:pt>
                <c:pt idx="8">
                  <c:v>0.6632703142039813</c:v>
                </c:pt>
                <c:pt idx="9">
                  <c:v>0.63289003250049558</c:v>
                </c:pt>
              </c:numCache>
            </c:numRef>
          </c:yVal>
          <c:smooth val="0"/>
        </c:ser>
        <c:ser>
          <c:idx val="1"/>
          <c:order val="2"/>
          <c:tx>
            <c:v>m = 1:30</c:v>
          </c:tx>
          <c:spPr>
            <a:ln w="28575">
              <a:noFill/>
            </a:ln>
          </c:spPr>
          <c:xVal>
            <c:numRef>
              <c:f>Goda!$I$6:$I$15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Goda!$O$6:$O$15</c:f>
              <c:numCache>
                <c:formatCode>0.00</c:formatCode>
                <c:ptCount val="10"/>
                <c:pt idx="0">
                  <c:v>0.90986620569295718</c:v>
                </c:pt>
                <c:pt idx="1">
                  <c:v>0.86919876478166125</c:v>
                </c:pt>
                <c:pt idx="2">
                  <c:v>0.83095128325134571</c:v>
                </c:pt>
                <c:pt idx="3">
                  <c:v>0.79491399877705882</c:v>
                </c:pt>
                <c:pt idx="4">
                  <c:v>0.76090071120295699</c:v>
                </c:pt>
                <c:pt idx="5">
                  <c:v>0.72874556454768524</c:v>
                </c:pt>
                <c:pt idx="6">
                  <c:v>0.69830034238273553</c:v>
                </c:pt>
                <c:pt idx="7">
                  <c:v>0.66943218350922162</c:v>
                </c:pt>
                <c:pt idx="8">
                  <c:v>0.64202164365667813</c:v>
                </c:pt>
                <c:pt idx="9">
                  <c:v>0.61596104355964509</c:v>
                </c:pt>
              </c:numCache>
            </c:numRef>
          </c:yVal>
          <c:smooth val="0"/>
        </c:ser>
        <c:ser>
          <c:idx val="2"/>
          <c:order val="3"/>
          <c:tx>
            <c:v>m = 1:50</c:v>
          </c:tx>
          <c:spPr>
            <a:ln w="28575">
              <a:noFill/>
            </a:ln>
          </c:spPr>
          <c:xVal>
            <c:numRef>
              <c:f>Goda!$I$6:$I$15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Goda!$Q$6:$Q$15</c:f>
              <c:numCache>
                <c:formatCode>0.00</c:formatCode>
                <c:ptCount val="10"/>
                <c:pt idx="0">
                  <c:v>0.83437697317182169</c:v>
                </c:pt>
                <c:pt idx="1">
                  <c:v>0.80496201334559736</c:v>
                </c:pt>
                <c:pt idx="2">
                  <c:v>0.77676183846197933</c:v>
                </c:pt>
                <c:pt idx="3">
                  <c:v>0.74970271833276503</c:v>
                </c:pt>
                <c:pt idx="4">
                  <c:v>0.72371677109288524</c:v>
                </c:pt>
                <c:pt idx="5">
                  <c:v>0.69874139460997642</c:v>
                </c:pt>
                <c:pt idx="6">
                  <c:v>0.6747187629646354</c:v>
                </c:pt>
                <c:pt idx="7">
                  <c:v>0.65159537947600521</c:v>
                </c:pt>
                <c:pt idx="8">
                  <c:v>0.62932167900040892</c:v>
                </c:pt>
                <c:pt idx="9">
                  <c:v>0.60785167328038048</c:v>
                </c:pt>
              </c:numCache>
            </c:numRef>
          </c:yVal>
          <c:smooth val="0"/>
        </c:ser>
        <c:ser>
          <c:idx val="3"/>
          <c:order val="4"/>
          <c:tx>
            <c:v>m = 1:100</c:v>
          </c:tx>
          <c:spPr>
            <a:ln w="28575">
              <a:noFill/>
            </a:ln>
          </c:spPr>
          <c:xVal>
            <c:numRef>
              <c:f>Goda!$I$6:$I$15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Goda!$S$6:$S$15</c:f>
              <c:numCache>
                <c:formatCode>0.00</c:formatCode>
                <c:ptCount val="10"/>
                <c:pt idx="0">
                  <c:v>0.77520695381701155</c:v>
                </c:pt>
                <c:pt idx="1">
                  <c:v>0.75499766997492657</c:v>
                </c:pt>
                <c:pt idx="2">
                  <c:v>0.73525839367545687</c:v>
                </c:pt>
                <c:pt idx="3">
                  <c:v>0.71597291693711451</c:v>
                </c:pt>
                <c:pt idx="4">
                  <c:v>0.69712576854191188</c:v>
                </c:pt>
                <c:pt idx="5">
                  <c:v>0.67870217264209376</c:v>
                </c:pt>
                <c:pt idx="6">
                  <c:v>0.66068801012655809</c:v>
                </c:pt>
                <c:pt idx="7">
                  <c:v>0.64306978253466862</c:v>
                </c:pt>
                <c:pt idx="8">
                  <c:v>0.62583457832362699</c:v>
                </c:pt>
                <c:pt idx="9">
                  <c:v>0.6089700413122493</c:v>
                </c:pt>
              </c:numCache>
            </c:numRef>
          </c:yVal>
          <c:smooth val="0"/>
        </c:ser>
        <c:dLbls>
          <c:showLegendKey val="0"/>
          <c:showVal val="0"/>
          <c:showCatName val="0"/>
          <c:showSerName val="0"/>
          <c:showPercent val="0"/>
          <c:showBubbleSize val="0"/>
        </c:dLbls>
        <c:axId val="150393984"/>
        <c:axId val="150395904"/>
      </c:scatterChart>
      <c:valAx>
        <c:axId val="150393984"/>
        <c:scaling>
          <c:orientation val="minMax"/>
          <c:max val="0.1"/>
        </c:scaling>
        <c:delete val="0"/>
        <c:axPos val="b"/>
        <c:majorGridlines/>
        <c:title>
          <c:tx>
            <c:rich>
              <a:bodyPr/>
              <a:lstStyle/>
              <a:p>
                <a:pPr>
                  <a:defRPr/>
                </a:pPr>
                <a:r>
                  <a:rPr lang="en-US"/>
                  <a:t>h/Lo</a:t>
                </a:r>
              </a:p>
            </c:rich>
          </c:tx>
          <c:layout>
            <c:manualLayout>
              <c:xMode val="edge"/>
              <c:yMode val="edge"/>
              <c:x val="0.3852428423511281"/>
              <c:y val="0.91221196949342775"/>
            </c:manualLayout>
          </c:layout>
          <c:overlay val="0"/>
        </c:title>
        <c:numFmt formatCode="0.00" sourceLinked="1"/>
        <c:majorTickMark val="out"/>
        <c:minorTickMark val="none"/>
        <c:tickLblPos val="nextTo"/>
        <c:crossAx val="150395904"/>
        <c:crosses val="autoZero"/>
        <c:crossBetween val="midCat"/>
        <c:majorUnit val="2.0000000000000004E-2"/>
      </c:valAx>
      <c:valAx>
        <c:axId val="150395904"/>
        <c:scaling>
          <c:orientation val="minMax"/>
          <c:max val="1"/>
          <c:min val="0.2"/>
        </c:scaling>
        <c:delete val="0"/>
        <c:axPos val="l"/>
        <c:majorGridlines/>
        <c:title>
          <c:tx>
            <c:rich>
              <a:bodyPr rot="-5400000" vert="horz"/>
              <a:lstStyle/>
              <a:p>
                <a:pPr>
                  <a:defRPr/>
                </a:pPr>
                <a:r>
                  <a:rPr lang="en-US"/>
                  <a:t>Hs/h</a:t>
                </a:r>
              </a:p>
            </c:rich>
          </c:tx>
          <c:overlay val="0"/>
        </c:title>
        <c:numFmt formatCode="0.00" sourceLinked="1"/>
        <c:majorTickMark val="out"/>
        <c:minorTickMark val="none"/>
        <c:tickLblPos val="nextTo"/>
        <c:crossAx val="1503939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Goda</a:t>
            </a:r>
          </a:p>
          <a:p>
            <a:pPr>
              <a:defRPr/>
            </a:pPr>
            <a:r>
              <a:rPr lang="en-US"/>
              <a:t>0.17</a:t>
            </a:r>
          </a:p>
        </c:rich>
      </c:tx>
      <c:layout>
        <c:manualLayout>
          <c:xMode val="edge"/>
          <c:yMode val="edge"/>
          <c:x val="0.81586260733801708"/>
          <c:y val="3.3755280670032826E-2"/>
        </c:manualLayout>
      </c:layout>
      <c:overlay val="0"/>
      <c:spPr>
        <a:ln>
          <a:solidFill>
            <a:sysClr val="windowText" lastClr="000000"/>
          </a:solidFill>
        </a:ln>
      </c:spPr>
    </c:title>
    <c:autoTitleDeleted val="0"/>
    <c:plotArea>
      <c:layout>
        <c:manualLayout>
          <c:layoutTarget val="inner"/>
          <c:xMode val="edge"/>
          <c:yMode val="edge"/>
          <c:x val="0.13917696067808039"/>
          <c:y val="5.3538381159009774E-2"/>
          <c:w val="0.64278937609862985"/>
          <c:h val="0.77644739529977647"/>
        </c:manualLayout>
      </c:layout>
      <c:scatterChart>
        <c:scatterStyle val="lineMarker"/>
        <c:varyColors val="0"/>
        <c:ser>
          <c:idx val="0"/>
          <c:order val="0"/>
          <c:tx>
            <c:v>m = 1:10</c:v>
          </c:tx>
          <c:spPr>
            <a:ln w="28575">
              <a:noFill/>
            </a:ln>
          </c:spPr>
          <c:xVal>
            <c:numRef>
              <c:f>Goda!$O$36:$O$45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Goda!$P$36:$P$45</c:f>
              <c:numCache>
                <c:formatCode>0.00</c:formatCode>
                <c:ptCount val="10"/>
                <c:pt idx="0">
                  <c:v>1.1683588101117448</c:v>
                </c:pt>
                <c:pt idx="1">
                  <c:v>1.1282099186656942</c:v>
                </c:pt>
                <c:pt idx="2">
                  <c:v>1.089900568828946</c:v>
                </c:pt>
                <c:pt idx="3">
                  <c:v>1.0533359409847733</c:v>
                </c:pt>
                <c:pt idx="4">
                  <c:v>1.0184264288498428</c:v>
                </c:pt>
                <c:pt idx="5">
                  <c:v>0.98508734089362304</c:v>
                </c:pt>
                <c:pt idx="6">
                  <c:v>0.95323861934683629</c:v>
                </c:pt>
                <c:pt idx="7">
                  <c:v>0.92280457574121155</c:v>
                </c:pt>
                <c:pt idx="8">
                  <c:v>0.89371364198741854</c:v>
                </c:pt>
                <c:pt idx="9">
                  <c:v>0.86589813605868937</c:v>
                </c:pt>
              </c:numCache>
            </c:numRef>
          </c:yVal>
          <c:smooth val="0"/>
        </c:ser>
        <c:ser>
          <c:idx val="4"/>
          <c:order val="1"/>
          <c:tx>
            <c:v>m = 1:20</c:v>
          </c:tx>
          <c:spPr>
            <a:ln w="28575">
              <a:noFill/>
            </a:ln>
          </c:spPr>
          <c:xVal>
            <c:numRef>
              <c:f>Goda!$O$36:$O$45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Goda!$Q$36:$Q$45</c:f>
              <c:numCache>
                <c:formatCode>0.00</c:formatCode>
                <c:ptCount val="10"/>
                <c:pt idx="0">
                  <c:v>0.93679170271983747</c:v>
                </c:pt>
                <c:pt idx="1">
                  <c:v>0.91098056465263966</c:v>
                </c:pt>
                <c:pt idx="2">
                  <c:v>0.88611764854540642</c:v>
                </c:pt>
                <c:pt idx="3">
                  <c:v>0.86216376528941341</c:v>
                </c:pt>
                <c:pt idx="4">
                  <c:v>0.83908145340096563</c:v>
                </c:pt>
                <c:pt idx="5">
                  <c:v>0.81683489968684997</c:v>
                </c:pt>
                <c:pt idx="6">
                  <c:v>0.79538986365700959</c:v>
                </c:pt>
                <c:pt idx="7">
                  <c:v>0.77471360550376422</c:v>
                </c:pt>
                <c:pt idx="8">
                  <c:v>0.75477481747574116</c:v>
                </c:pt>
                <c:pt idx="9">
                  <c:v>0.73554355848310149</c:v>
                </c:pt>
              </c:numCache>
            </c:numRef>
          </c:yVal>
          <c:smooth val="0"/>
        </c:ser>
        <c:ser>
          <c:idx val="1"/>
          <c:order val="2"/>
          <c:tx>
            <c:v>m = 1:30</c:v>
          </c:tx>
          <c:spPr>
            <a:ln w="28575">
              <a:noFill/>
            </a:ln>
          </c:spPr>
          <c:xVal>
            <c:numRef>
              <c:f>Goda!$O$36:$O$45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Goda!$R$36:$R$45</c:f>
              <c:numCache>
                <c:formatCode>0.00</c:formatCode>
                <c:ptCount val="10"/>
                <c:pt idx="0">
                  <c:v>0.87255944745639891</c:v>
                </c:pt>
                <c:pt idx="1">
                  <c:v>0.85016650659329851</c:v>
                </c:pt>
                <c:pt idx="2">
                  <c:v>0.82853980777358738</c:v>
                </c:pt>
                <c:pt idx="3">
                  <c:v>0.80764985430311897</c:v>
                </c:pt>
                <c:pt idx="4">
                  <c:v>0.78746836066982351</c:v>
                </c:pt>
                <c:pt idx="5">
                  <c:v>0.767968200738397</c:v>
                </c:pt>
                <c:pt idx="6">
                  <c:v>0.74912335822414267</c:v>
                </c:pt>
                <c:pt idx="7">
                  <c:v>0.73090887934360727</c:v>
                </c:pt>
                <c:pt idx="8">
                  <c:v>0.71330082754432111</c:v>
                </c:pt>
                <c:pt idx="9">
                  <c:v>0.69627624022040879</c:v>
                </c:pt>
              </c:numCache>
            </c:numRef>
          </c:yVal>
          <c:smooth val="0"/>
        </c:ser>
        <c:ser>
          <c:idx val="2"/>
          <c:order val="3"/>
          <c:tx>
            <c:v>m = 1:50</c:v>
          </c:tx>
          <c:spPr>
            <a:ln w="28575">
              <a:noFill/>
            </a:ln>
          </c:spPr>
          <c:xVal>
            <c:numRef>
              <c:f>Goda!$O$36:$O$45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Goda!$S$36:$S$45</c:f>
              <c:numCache>
                <c:formatCode>0.00</c:formatCode>
                <c:ptCount val="10"/>
                <c:pt idx="0">
                  <c:v>0.82815836333047421</c:v>
                </c:pt>
                <c:pt idx="1">
                  <c:v>0.80798641407299765</c:v>
                </c:pt>
                <c:pt idx="2">
                  <c:v>0.78846958514815846</c:v>
                </c:pt>
                <c:pt idx="3">
                  <c:v>0.76958394081849502</c:v>
                </c:pt>
                <c:pt idx="4">
                  <c:v>0.75130647817389506</c:v>
                </c:pt>
                <c:pt idx="5">
                  <c:v>0.73361508926253693</c:v>
                </c:pt>
                <c:pt idx="6">
                  <c:v>0.71648852480308933</c:v>
                </c:pt>
                <c:pt idx="7">
                  <c:v>0.69990635941076262</c:v>
                </c:pt>
                <c:pt idx="8">
                  <c:v>0.68384895827273284</c:v>
                </c:pt>
                <c:pt idx="9">
                  <c:v>0.66829744521123902</c:v>
                </c:pt>
              </c:numCache>
            </c:numRef>
          </c:yVal>
          <c:smooth val="0"/>
        </c:ser>
        <c:ser>
          <c:idx val="3"/>
          <c:order val="4"/>
          <c:tx>
            <c:v>m = 1:100</c:v>
          </c:tx>
          <c:spPr>
            <a:ln w="28575">
              <a:noFill/>
            </a:ln>
          </c:spPr>
          <c:xVal>
            <c:numRef>
              <c:f>Goda!$O$36:$O$45</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Goda!$T$36:$T$45</c:f>
              <c:numCache>
                <c:formatCode>0.00</c:formatCode>
                <c:ptCount val="10"/>
                <c:pt idx="0">
                  <c:v>0.80065438910427911</c:v>
                </c:pt>
                <c:pt idx="1">
                  <c:v>0.78180005231628069</c:v>
                </c:pt>
                <c:pt idx="2">
                  <c:v>0.76353770797937881</c:v>
                </c:pt>
                <c:pt idx="3">
                  <c:v>0.74584644515147247</c:v>
                </c:pt>
                <c:pt idx="4">
                  <c:v>0.72870614076987605</c:v>
                </c:pt>
                <c:pt idx="5">
                  <c:v>0.71209742872881354</c:v>
                </c:pt>
                <c:pt idx="6">
                  <c:v>0.69600167020522807</c:v>
                </c:pt>
                <c:pt idx="7">
                  <c:v>0.68040092518146189</c:v>
                </c:pt>
                <c:pt idx="8">
                  <c:v>0.66527792511551864</c:v>
                </c:pt>
                <c:pt idx="9">
                  <c:v>0.65061604671168083</c:v>
                </c:pt>
              </c:numCache>
            </c:numRef>
          </c:yVal>
          <c:smooth val="0"/>
        </c:ser>
        <c:dLbls>
          <c:showLegendKey val="0"/>
          <c:showVal val="0"/>
          <c:showCatName val="0"/>
          <c:showSerName val="0"/>
          <c:showPercent val="0"/>
          <c:showBubbleSize val="0"/>
        </c:dLbls>
        <c:axId val="150112896"/>
        <c:axId val="150127360"/>
      </c:scatterChart>
      <c:valAx>
        <c:axId val="150112896"/>
        <c:scaling>
          <c:orientation val="minMax"/>
          <c:max val="0.1"/>
        </c:scaling>
        <c:delete val="0"/>
        <c:axPos val="b"/>
        <c:majorGridlines/>
        <c:title>
          <c:tx>
            <c:rich>
              <a:bodyPr/>
              <a:lstStyle/>
              <a:p>
                <a:pPr>
                  <a:defRPr/>
                </a:pPr>
                <a:r>
                  <a:rPr lang="en-US"/>
                  <a:t>h/Lo</a:t>
                </a:r>
              </a:p>
            </c:rich>
          </c:tx>
          <c:layout>
            <c:manualLayout>
              <c:xMode val="edge"/>
              <c:yMode val="edge"/>
              <c:x val="0.3852428423511281"/>
              <c:y val="0.91221196949342775"/>
            </c:manualLayout>
          </c:layout>
          <c:overlay val="0"/>
        </c:title>
        <c:numFmt formatCode="0.00" sourceLinked="1"/>
        <c:majorTickMark val="out"/>
        <c:minorTickMark val="none"/>
        <c:tickLblPos val="nextTo"/>
        <c:crossAx val="150127360"/>
        <c:crosses val="autoZero"/>
        <c:crossBetween val="midCat"/>
        <c:majorUnit val="2.0000000000000004E-2"/>
      </c:valAx>
      <c:valAx>
        <c:axId val="150127360"/>
        <c:scaling>
          <c:orientation val="minMax"/>
          <c:max val="1"/>
          <c:min val="0.2"/>
        </c:scaling>
        <c:delete val="0"/>
        <c:axPos val="l"/>
        <c:majorGridlines/>
        <c:title>
          <c:tx>
            <c:rich>
              <a:bodyPr rot="-5400000" vert="horz"/>
              <a:lstStyle/>
              <a:p>
                <a:pPr>
                  <a:defRPr/>
                </a:pPr>
                <a:r>
                  <a:rPr lang="en-US"/>
                  <a:t>Hs/h</a:t>
                </a:r>
              </a:p>
            </c:rich>
          </c:tx>
          <c:overlay val="0"/>
        </c:title>
        <c:numFmt formatCode="0.00" sourceLinked="1"/>
        <c:majorTickMark val="out"/>
        <c:minorTickMark val="none"/>
        <c:tickLblPos val="nextTo"/>
        <c:crossAx val="15011289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17696067808039"/>
          <c:y val="5.3538381159009774E-2"/>
          <c:w val="0.64278937609862985"/>
          <c:h val="0.77644739529977647"/>
        </c:manualLayout>
      </c:layout>
      <c:scatterChart>
        <c:scatterStyle val="lineMarker"/>
        <c:varyColors val="0"/>
        <c:ser>
          <c:idx val="3"/>
          <c:order val="0"/>
          <c:tx>
            <c:v>Enveloppe Goda</c:v>
          </c:tx>
          <c:spPr>
            <a:ln w="28575">
              <a:noFill/>
            </a:ln>
          </c:spPr>
          <c:marker>
            <c:symbol val="circle"/>
            <c:size val="5"/>
          </c:marker>
          <c:xVal>
            <c:numRef>
              <c:f>Goda!$B$42:$B$47</c:f>
              <c:numCache>
                <c:formatCode>General</c:formatCode>
                <c:ptCount val="6"/>
                <c:pt idx="0">
                  <c:v>1.0999999999999999E-2</c:v>
                </c:pt>
                <c:pt idx="1">
                  <c:v>0.05</c:v>
                </c:pt>
                <c:pt idx="2">
                  <c:v>2.3E-2</c:v>
                </c:pt>
                <c:pt idx="3">
                  <c:v>0.06</c:v>
                </c:pt>
                <c:pt idx="4">
                  <c:v>0.08</c:v>
                </c:pt>
                <c:pt idx="5">
                  <c:v>0.1</c:v>
                </c:pt>
              </c:numCache>
            </c:numRef>
          </c:xVal>
          <c:yVal>
            <c:numRef>
              <c:f>Goda!$A$42:$A$47</c:f>
              <c:numCache>
                <c:formatCode>General</c:formatCode>
                <c:ptCount val="6"/>
                <c:pt idx="0">
                  <c:v>0.83</c:v>
                </c:pt>
                <c:pt idx="1">
                  <c:v>0.7</c:v>
                </c:pt>
                <c:pt idx="2">
                  <c:v>0.6</c:v>
                </c:pt>
                <c:pt idx="3">
                  <c:v>0.51</c:v>
                </c:pt>
                <c:pt idx="4">
                  <c:v>0.53</c:v>
                </c:pt>
                <c:pt idx="5">
                  <c:v>0.43</c:v>
                </c:pt>
              </c:numCache>
            </c:numRef>
          </c:yVal>
          <c:smooth val="0"/>
        </c:ser>
        <c:ser>
          <c:idx val="0"/>
          <c:order val="1"/>
          <c:tx>
            <c:v>Approx</c:v>
          </c:tx>
          <c:spPr>
            <a:ln w="28575">
              <a:noFill/>
            </a:ln>
          </c:spPr>
          <c:marker>
            <c:symbol val="x"/>
            <c:size val="5"/>
          </c:marker>
          <c:trendline>
            <c:spPr>
              <a:ln w="25400"/>
            </c:spPr>
            <c:trendlineType val="linear"/>
            <c:dispRSqr val="0"/>
            <c:dispEq val="0"/>
          </c:trendline>
          <c:xVal>
            <c:numRef>
              <c:f>Goda!$B$69:$B$70</c:f>
              <c:numCache>
                <c:formatCode>General</c:formatCode>
                <c:ptCount val="2"/>
                <c:pt idx="0">
                  <c:v>0</c:v>
                </c:pt>
                <c:pt idx="1">
                  <c:v>0.1</c:v>
                </c:pt>
              </c:numCache>
            </c:numRef>
          </c:xVal>
          <c:yVal>
            <c:numRef>
              <c:f>Goda!$A$69:$A$70</c:f>
              <c:numCache>
                <c:formatCode>General</c:formatCode>
                <c:ptCount val="2"/>
                <c:pt idx="0">
                  <c:v>0.9</c:v>
                </c:pt>
                <c:pt idx="1">
                  <c:v>0.4</c:v>
                </c:pt>
              </c:numCache>
            </c:numRef>
          </c:yVal>
          <c:smooth val="0"/>
        </c:ser>
        <c:ser>
          <c:idx val="1"/>
          <c:order val="2"/>
          <c:tx>
            <c:v>LHM</c:v>
          </c:tx>
          <c:spPr>
            <a:ln w="28575">
              <a:noFill/>
            </a:ln>
          </c:spPr>
          <c:marker>
            <c:symbol val="x"/>
            <c:size val="5"/>
          </c:marker>
          <c:trendline>
            <c:spPr>
              <a:ln w="12700">
                <a:solidFill>
                  <a:srgbClr val="C00000"/>
                </a:solidFill>
                <a:prstDash val="dash"/>
              </a:ln>
            </c:spPr>
            <c:trendlineType val="linear"/>
            <c:dispRSqr val="0"/>
            <c:dispEq val="0"/>
          </c:trendline>
          <c:xVal>
            <c:numRef>
              <c:f>Goda!$B$77:$B$78</c:f>
              <c:numCache>
                <c:formatCode>General</c:formatCode>
                <c:ptCount val="2"/>
                <c:pt idx="0">
                  <c:v>0.05</c:v>
                </c:pt>
                <c:pt idx="1">
                  <c:v>0.1</c:v>
                </c:pt>
              </c:numCache>
            </c:numRef>
          </c:xVal>
          <c:yVal>
            <c:numRef>
              <c:f>Goda!$A$77:$A$78</c:f>
              <c:numCache>
                <c:formatCode>General</c:formatCode>
                <c:ptCount val="2"/>
                <c:pt idx="0">
                  <c:v>0.73</c:v>
                </c:pt>
                <c:pt idx="1">
                  <c:v>0.68</c:v>
                </c:pt>
              </c:numCache>
            </c:numRef>
          </c:yVal>
          <c:smooth val="0"/>
        </c:ser>
        <c:ser>
          <c:idx val="2"/>
          <c:order val="3"/>
          <c:tx>
            <c:v>1</c:v>
          </c:tx>
          <c:spPr>
            <a:ln w="28575">
              <a:noFill/>
            </a:ln>
          </c:spPr>
          <c:trendline>
            <c:trendlineType val="linear"/>
            <c:dispRSqr val="0"/>
            <c:dispEq val="0"/>
          </c:trendline>
          <c:xVal>
            <c:numRef>
              <c:f>(Goda!$B$42,Goda!$B$44)</c:f>
              <c:numCache>
                <c:formatCode>General</c:formatCode>
                <c:ptCount val="2"/>
                <c:pt idx="0">
                  <c:v>1.0999999999999999E-2</c:v>
                </c:pt>
                <c:pt idx="1">
                  <c:v>2.3E-2</c:v>
                </c:pt>
              </c:numCache>
            </c:numRef>
          </c:xVal>
          <c:yVal>
            <c:numRef>
              <c:f>(Goda!$A$42,Goda!$A$44)</c:f>
              <c:numCache>
                <c:formatCode>General</c:formatCode>
                <c:ptCount val="2"/>
                <c:pt idx="0">
                  <c:v>0.83</c:v>
                </c:pt>
                <c:pt idx="1">
                  <c:v>0.6</c:v>
                </c:pt>
              </c:numCache>
            </c:numRef>
          </c:yVal>
          <c:smooth val="0"/>
        </c:ser>
        <c:ser>
          <c:idx val="4"/>
          <c:order val="4"/>
          <c:tx>
            <c:v>2</c:v>
          </c:tx>
          <c:spPr>
            <a:ln w="28575">
              <a:noFill/>
            </a:ln>
          </c:spPr>
          <c:trendline>
            <c:trendlineType val="linear"/>
            <c:dispRSqr val="0"/>
            <c:dispEq val="0"/>
          </c:trendline>
          <c:xVal>
            <c:numRef>
              <c:f>(Goda!$B$44,Goda!$B$45)</c:f>
              <c:numCache>
                <c:formatCode>General</c:formatCode>
                <c:ptCount val="2"/>
                <c:pt idx="0">
                  <c:v>2.3E-2</c:v>
                </c:pt>
                <c:pt idx="1">
                  <c:v>0.06</c:v>
                </c:pt>
              </c:numCache>
            </c:numRef>
          </c:xVal>
          <c:yVal>
            <c:numRef>
              <c:f>(Goda!$A$44,Goda!$A$45)</c:f>
              <c:numCache>
                <c:formatCode>General</c:formatCode>
                <c:ptCount val="2"/>
                <c:pt idx="0">
                  <c:v>0.6</c:v>
                </c:pt>
                <c:pt idx="1">
                  <c:v>0.51</c:v>
                </c:pt>
              </c:numCache>
            </c:numRef>
          </c:yVal>
          <c:smooth val="0"/>
        </c:ser>
        <c:ser>
          <c:idx val="5"/>
          <c:order val="5"/>
          <c:tx>
            <c:v>3</c:v>
          </c:tx>
          <c:spPr>
            <a:ln w="28575">
              <a:noFill/>
            </a:ln>
          </c:spPr>
          <c:trendline>
            <c:trendlineType val="linear"/>
            <c:dispRSqr val="0"/>
            <c:dispEq val="0"/>
          </c:trendline>
          <c:xVal>
            <c:numRef>
              <c:f>(Goda!$B$45,Goda!$B$47)</c:f>
              <c:numCache>
                <c:formatCode>General</c:formatCode>
                <c:ptCount val="2"/>
                <c:pt idx="0">
                  <c:v>0.06</c:v>
                </c:pt>
                <c:pt idx="1">
                  <c:v>0.1</c:v>
                </c:pt>
              </c:numCache>
            </c:numRef>
          </c:xVal>
          <c:yVal>
            <c:numRef>
              <c:f>(Goda!$A$45,Goda!$A$47)</c:f>
              <c:numCache>
                <c:formatCode>General</c:formatCode>
                <c:ptCount val="2"/>
                <c:pt idx="0">
                  <c:v>0.51</c:v>
                </c:pt>
                <c:pt idx="1">
                  <c:v>0.43</c:v>
                </c:pt>
              </c:numCache>
            </c:numRef>
          </c:yVal>
          <c:smooth val="0"/>
        </c:ser>
        <c:ser>
          <c:idx val="6"/>
          <c:order val="6"/>
          <c:tx>
            <c:v>4</c:v>
          </c:tx>
          <c:spPr>
            <a:ln w="28575">
              <a:noFill/>
            </a:ln>
          </c:spPr>
          <c:trendline>
            <c:trendlineType val="linear"/>
            <c:dispRSqr val="0"/>
            <c:dispEq val="0"/>
          </c:trendline>
          <c:xVal>
            <c:numRef>
              <c:f>Goda!$B$46:$B$47</c:f>
              <c:numCache>
                <c:formatCode>General</c:formatCode>
                <c:ptCount val="2"/>
                <c:pt idx="0">
                  <c:v>0.08</c:v>
                </c:pt>
                <c:pt idx="1">
                  <c:v>0.1</c:v>
                </c:pt>
              </c:numCache>
            </c:numRef>
          </c:xVal>
          <c:yVal>
            <c:numRef>
              <c:f>(Goda!$A$46,Goda!$A$47)</c:f>
              <c:numCache>
                <c:formatCode>General</c:formatCode>
                <c:ptCount val="2"/>
                <c:pt idx="0">
                  <c:v>0.53</c:v>
                </c:pt>
                <c:pt idx="1">
                  <c:v>0.43</c:v>
                </c:pt>
              </c:numCache>
            </c:numRef>
          </c:yVal>
          <c:smooth val="0"/>
        </c:ser>
        <c:ser>
          <c:idx val="7"/>
          <c:order val="7"/>
          <c:tx>
            <c:v>5</c:v>
          </c:tx>
          <c:spPr>
            <a:ln w="28575">
              <a:noFill/>
            </a:ln>
          </c:spPr>
          <c:trendline>
            <c:trendlineType val="linear"/>
            <c:dispRSqr val="0"/>
            <c:dispEq val="0"/>
          </c:trendline>
          <c:xVal>
            <c:numRef>
              <c:f>(Goda!$B$46,Goda!$B$43)</c:f>
              <c:numCache>
                <c:formatCode>General</c:formatCode>
                <c:ptCount val="2"/>
                <c:pt idx="0">
                  <c:v>0.08</c:v>
                </c:pt>
                <c:pt idx="1">
                  <c:v>0.05</c:v>
                </c:pt>
              </c:numCache>
            </c:numRef>
          </c:xVal>
          <c:yVal>
            <c:numRef>
              <c:f>(Goda!$A$46,Goda!$A$43)</c:f>
              <c:numCache>
                <c:formatCode>General</c:formatCode>
                <c:ptCount val="2"/>
                <c:pt idx="0">
                  <c:v>0.53</c:v>
                </c:pt>
                <c:pt idx="1">
                  <c:v>0.7</c:v>
                </c:pt>
              </c:numCache>
            </c:numRef>
          </c:yVal>
          <c:smooth val="0"/>
        </c:ser>
        <c:ser>
          <c:idx val="8"/>
          <c:order val="8"/>
          <c:tx>
            <c:v>6</c:v>
          </c:tx>
          <c:spPr>
            <a:ln w="28575">
              <a:noFill/>
            </a:ln>
          </c:spPr>
          <c:trendline>
            <c:trendlineType val="linear"/>
            <c:dispRSqr val="0"/>
            <c:dispEq val="0"/>
          </c:trendline>
          <c:xVal>
            <c:numRef>
              <c:f>(Goda!$B$43,Goda!$B$42)</c:f>
              <c:numCache>
                <c:formatCode>General</c:formatCode>
                <c:ptCount val="2"/>
                <c:pt idx="0">
                  <c:v>0.05</c:v>
                </c:pt>
                <c:pt idx="1">
                  <c:v>1.0999999999999999E-2</c:v>
                </c:pt>
              </c:numCache>
            </c:numRef>
          </c:xVal>
          <c:yVal>
            <c:numRef>
              <c:f>(Goda!$A$43,Goda!$A$42)</c:f>
              <c:numCache>
                <c:formatCode>General</c:formatCode>
                <c:ptCount val="2"/>
                <c:pt idx="0">
                  <c:v>0.7</c:v>
                </c:pt>
                <c:pt idx="1">
                  <c:v>0.83</c:v>
                </c:pt>
              </c:numCache>
            </c:numRef>
          </c:yVal>
          <c:smooth val="0"/>
        </c:ser>
        <c:dLbls>
          <c:showLegendKey val="0"/>
          <c:showVal val="0"/>
          <c:showCatName val="0"/>
          <c:showSerName val="0"/>
          <c:showPercent val="0"/>
          <c:showBubbleSize val="0"/>
        </c:dLbls>
        <c:axId val="150411136"/>
        <c:axId val="150421504"/>
      </c:scatterChart>
      <c:valAx>
        <c:axId val="150411136"/>
        <c:scaling>
          <c:orientation val="minMax"/>
          <c:max val="0.1"/>
        </c:scaling>
        <c:delete val="0"/>
        <c:axPos val="b"/>
        <c:majorGridlines/>
        <c:title>
          <c:tx>
            <c:rich>
              <a:bodyPr/>
              <a:lstStyle/>
              <a:p>
                <a:pPr>
                  <a:defRPr/>
                </a:pPr>
                <a:r>
                  <a:rPr lang="en-US"/>
                  <a:t>h/Lo</a:t>
                </a:r>
              </a:p>
            </c:rich>
          </c:tx>
          <c:layout>
            <c:manualLayout>
              <c:xMode val="edge"/>
              <c:yMode val="edge"/>
              <c:x val="0.3852428423511281"/>
              <c:y val="0.91221196949342775"/>
            </c:manualLayout>
          </c:layout>
          <c:overlay val="0"/>
        </c:title>
        <c:numFmt formatCode="General" sourceLinked="1"/>
        <c:majorTickMark val="out"/>
        <c:minorTickMark val="none"/>
        <c:tickLblPos val="nextTo"/>
        <c:crossAx val="150421504"/>
        <c:crosses val="autoZero"/>
        <c:crossBetween val="midCat"/>
        <c:majorUnit val="2.0000000000000004E-2"/>
      </c:valAx>
      <c:valAx>
        <c:axId val="150421504"/>
        <c:scaling>
          <c:orientation val="minMax"/>
          <c:max val="1"/>
          <c:min val="0.2"/>
        </c:scaling>
        <c:delete val="0"/>
        <c:axPos val="l"/>
        <c:majorGridlines/>
        <c:title>
          <c:tx>
            <c:rich>
              <a:bodyPr rot="-5400000" vert="horz"/>
              <a:lstStyle/>
              <a:p>
                <a:pPr>
                  <a:defRPr/>
                </a:pPr>
                <a:r>
                  <a:rPr lang="en-US"/>
                  <a:t>Hs/h</a:t>
                </a:r>
              </a:p>
            </c:rich>
          </c:tx>
          <c:overlay val="0"/>
        </c:title>
        <c:numFmt formatCode="General" sourceLinked="1"/>
        <c:majorTickMark val="out"/>
        <c:minorTickMark val="none"/>
        <c:tickLblPos val="nextTo"/>
        <c:crossAx val="150411136"/>
        <c:crosses val="autoZero"/>
        <c:crossBetween val="midCat"/>
      </c:valAx>
    </c:plotArea>
    <c:legend>
      <c:legendPos val="r"/>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11"/>
        <c:delete val="1"/>
      </c:legendEntry>
      <c:legendEntry>
        <c:idx val="12"/>
        <c:delete val="1"/>
      </c:legendEntry>
      <c:legendEntry>
        <c:idx val="13"/>
        <c:delete val="1"/>
      </c:legendEntry>
      <c:legendEntry>
        <c:idx val="14"/>
        <c:delete val="1"/>
      </c:legendEntry>
      <c:legendEntry>
        <c:idx val="15"/>
        <c:delete val="1"/>
      </c:legendEntry>
      <c:legendEntry>
        <c:idx val="16"/>
        <c:delete val="1"/>
      </c:legendEntry>
      <c:layout>
        <c:manualLayout>
          <c:xMode val="edge"/>
          <c:yMode val="edge"/>
          <c:x val="0.6590811240338077"/>
          <c:y val="2.6826145496270954E-2"/>
          <c:w val="0.32868646006405161"/>
          <c:h val="0.2615973500016327"/>
        </c:manualLayout>
      </c:layout>
      <c:overlay val="0"/>
      <c:spPr>
        <a:solidFill>
          <a:schemeClr val="bg1"/>
        </a:solidFill>
        <a:ln>
          <a:solidFill>
            <a:sysClr val="windowText" lastClr="000000"/>
          </a:solidFill>
        </a:ln>
      </c:sp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17696067808039"/>
          <c:y val="5.3538381159009774E-2"/>
          <c:w val="0.64278937609862985"/>
          <c:h val="0.77644739529977647"/>
        </c:manualLayout>
      </c:layout>
      <c:scatterChart>
        <c:scatterStyle val="lineMarker"/>
        <c:varyColors val="0"/>
        <c:ser>
          <c:idx val="0"/>
          <c:order val="0"/>
          <c:tx>
            <c:v>m = 1:10</c:v>
          </c:tx>
          <c:spPr>
            <a:ln w="28575">
              <a:noFill/>
            </a:ln>
          </c:spPr>
          <c:xVal>
            <c:numRef>
              <c:f>Goda!$A$90:$A$99</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Goda!$B$90:$B$99</c:f>
              <c:numCache>
                <c:formatCode>0.00</c:formatCode>
                <c:ptCount val="10"/>
                <c:pt idx="0">
                  <c:v>1.0856065337794976</c:v>
                </c:pt>
                <c:pt idx="1">
                  <c:v>1.0217473259101153</c:v>
                </c:pt>
                <c:pt idx="2">
                  <c:v>0.95788811804073304</c:v>
                </c:pt>
                <c:pt idx="3">
                  <c:v>0.89402891017135089</c:v>
                </c:pt>
                <c:pt idx="4">
                  <c:v>0.83016970230196874</c:v>
                </c:pt>
                <c:pt idx="5">
                  <c:v>0.76631049443258659</c:v>
                </c:pt>
                <c:pt idx="6">
                  <c:v>0.70245128656320432</c:v>
                </c:pt>
                <c:pt idx="7">
                  <c:v>0.63859207869382206</c:v>
                </c:pt>
                <c:pt idx="8">
                  <c:v>0.57473287082443991</c:v>
                </c:pt>
                <c:pt idx="9">
                  <c:v>0.51087366295505765</c:v>
                </c:pt>
              </c:numCache>
            </c:numRef>
          </c:yVal>
          <c:smooth val="0"/>
        </c:ser>
        <c:ser>
          <c:idx val="4"/>
          <c:order val="1"/>
          <c:tx>
            <c:v>m = 1:20</c:v>
          </c:tx>
          <c:spPr>
            <a:ln w="28575">
              <a:noFill/>
            </a:ln>
          </c:spPr>
          <c:xVal>
            <c:numRef>
              <c:f>Goda!$A$90:$A$99</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Goda!$C$90:$C$99</c:f>
              <c:numCache>
                <c:formatCode>0.00</c:formatCode>
                <c:ptCount val="10"/>
                <c:pt idx="0">
                  <c:v>0.93059373688999791</c:v>
                </c:pt>
                <c:pt idx="1">
                  <c:v>0.87585292883764498</c:v>
                </c:pt>
                <c:pt idx="2">
                  <c:v>0.82111212078529217</c:v>
                </c:pt>
                <c:pt idx="3">
                  <c:v>0.76637131273293935</c:v>
                </c:pt>
                <c:pt idx="4">
                  <c:v>0.71163050468058664</c:v>
                </c:pt>
                <c:pt idx="5">
                  <c:v>0.65688969662823382</c:v>
                </c:pt>
                <c:pt idx="6">
                  <c:v>0.602148888575881</c:v>
                </c:pt>
                <c:pt idx="7">
                  <c:v>0.54740808052352818</c:v>
                </c:pt>
                <c:pt idx="8">
                  <c:v>0.49266727247117537</c:v>
                </c:pt>
                <c:pt idx="9">
                  <c:v>0.43792646441882249</c:v>
                </c:pt>
              </c:numCache>
            </c:numRef>
          </c:yVal>
          <c:smooth val="0"/>
        </c:ser>
        <c:ser>
          <c:idx val="1"/>
          <c:order val="2"/>
          <c:tx>
            <c:v>m = 1:30</c:v>
          </c:tx>
          <c:spPr>
            <a:ln w="28575">
              <a:noFill/>
            </a:ln>
          </c:spPr>
          <c:xVal>
            <c:numRef>
              <c:f>Goda!$A$90:$A$99</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Goda!$D$90:$D$99</c:f>
              <c:numCache>
                <c:formatCode>0.00</c:formatCode>
                <c:ptCount val="10"/>
                <c:pt idx="0">
                  <c:v>0.89201217834510538</c:v>
                </c:pt>
                <c:pt idx="1">
                  <c:v>0.83954087373656971</c:v>
                </c:pt>
                <c:pt idx="2">
                  <c:v>0.78706956912803405</c:v>
                </c:pt>
                <c:pt idx="3">
                  <c:v>0.7345982645194985</c:v>
                </c:pt>
                <c:pt idx="4">
                  <c:v>0.68212695991096295</c:v>
                </c:pt>
                <c:pt idx="5">
                  <c:v>0.6296556553024274</c:v>
                </c:pt>
                <c:pt idx="6">
                  <c:v>0.57718435069389173</c:v>
                </c:pt>
                <c:pt idx="7">
                  <c:v>0.52471304608535607</c:v>
                </c:pt>
                <c:pt idx="8">
                  <c:v>0.47224174147682052</c:v>
                </c:pt>
                <c:pt idx="9">
                  <c:v>0.41977043686828486</c:v>
                </c:pt>
              </c:numCache>
            </c:numRef>
          </c:yVal>
          <c:smooth val="0"/>
        </c:ser>
        <c:ser>
          <c:idx val="2"/>
          <c:order val="3"/>
          <c:tx>
            <c:v>m = 1:50</c:v>
          </c:tx>
          <c:spPr>
            <a:ln w="28575">
              <a:noFill/>
            </a:ln>
          </c:spPr>
          <c:xVal>
            <c:numRef>
              <c:f>Goda!$A$90:$A$99</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Goda!$E$90:$E$99</c:f>
              <c:numCache>
                <c:formatCode>0.00</c:formatCode>
                <c:ptCount val="10"/>
                <c:pt idx="0">
                  <c:v>0.86636671792377218</c:v>
                </c:pt>
                <c:pt idx="1">
                  <c:v>0.81540396981060903</c:v>
                </c:pt>
                <c:pt idx="2">
                  <c:v>0.76444122169744599</c:v>
                </c:pt>
                <c:pt idx="3">
                  <c:v>0.71347847358428296</c:v>
                </c:pt>
                <c:pt idx="4">
                  <c:v>0.66251572547111992</c:v>
                </c:pt>
                <c:pt idx="5">
                  <c:v>0.61155297735795688</c:v>
                </c:pt>
                <c:pt idx="6">
                  <c:v>0.56059022924479374</c:v>
                </c:pt>
                <c:pt idx="7">
                  <c:v>0.5096274811316307</c:v>
                </c:pt>
                <c:pt idx="8">
                  <c:v>0.45866473301846766</c:v>
                </c:pt>
                <c:pt idx="9">
                  <c:v>0.40770198490530452</c:v>
                </c:pt>
              </c:numCache>
            </c:numRef>
          </c:yVal>
          <c:smooth val="0"/>
        </c:ser>
        <c:ser>
          <c:idx val="3"/>
          <c:order val="4"/>
          <c:tx>
            <c:v>m = 1:100</c:v>
          </c:tx>
          <c:spPr>
            <a:ln w="28575">
              <a:noFill/>
            </a:ln>
          </c:spPr>
          <c:xVal>
            <c:numRef>
              <c:f>Goda!$A$90:$A$99</c:f>
              <c:numCache>
                <c:formatCode>0.00</c:formatCode>
                <c:ptCount val="10"/>
                <c:pt idx="0">
                  <c:v>0.01</c:v>
                </c:pt>
                <c:pt idx="1">
                  <c:v>0.02</c:v>
                </c:pt>
                <c:pt idx="2">
                  <c:v>0.03</c:v>
                </c:pt>
                <c:pt idx="3">
                  <c:v>0.04</c:v>
                </c:pt>
                <c:pt idx="4">
                  <c:v>0.05</c:v>
                </c:pt>
                <c:pt idx="5">
                  <c:v>0.06</c:v>
                </c:pt>
                <c:pt idx="6">
                  <c:v>7.0000000000000007E-2</c:v>
                </c:pt>
                <c:pt idx="7">
                  <c:v>0.08</c:v>
                </c:pt>
                <c:pt idx="8">
                  <c:v>0.09</c:v>
                </c:pt>
                <c:pt idx="9">
                  <c:v>0.1</c:v>
                </c:pt>
              </c:numCache>
            </c:numRef>
          </c:xVal>
          <c:yVal>
            <c:numRef>
              <c:f>Goda!$F$90:$F$99</c:f>
              <c:numCache>
                <c:formatCode>0.00</c:formatCode>
                <c:ptCount val="10"/>
                <c:pt idx="0">
                  <c:v>0.85088613649556</c:v>
                </c:pt>
                <c:pt idx="1">
                  <c:v>0.80083401081935046</c:v>
                </c:pt>
                <c:pt idx="2">
                  <c:v>0.75078188514314104</c:v>
                </c:pt>
                <c:pt idx="3">
                  <c:v>0.70072975946693172</c:v>
                </c:pt>
                <c:pt idx="4">
                  <c:v>0.6506776337907223</c:v>
                </c:pt>
                <c:pt idx="5">
                  <c:v>0.60062550811451298</c:v>
                </c:pt>
                <c:pt idx="6">
                  <c:v>0.55057338243830356</c:v>
                </c:pt>
                <c:pt idx="7">
                  <c:v>0.50052125676209402</c:v>
                </c:pt>
                <c:pt idx="8">
                  <c:v>0.45046913108588471</c:v>
                </c:pt>
                <c:pt idx="9">
                  <c:v>0.40041700540967523</c:v>
                </c:pt>
              </c:numCache>
            </c:numRef>
          </c:yVal>
          <c:smooth val="0"/>
        </c:ser>
        <c:dLbls>
          <c:showLegendKey val="0"/>
          <c:showVal val="0"/>
          <c:showCatName val="0"/>
          <c:showSerName val="0"/>
          <c:showPercent val="0"/>
          <c:showBubbleSize val="0"/>
        </c:dLbls>
        <c:axId val="150459136"/>
        <c:axId val="150461056"/>
      </c:scatterChart>
      <c:valAx>
        <c:axId val="150459136"/>
        <c:scaling>
          <c:orientation val="minMax"/>
          <c:max val="0.1"/>
        </c:scaling>
        <c:delete val="0"/>
        <c:axPos val="b"/>
        <c:majorGridlines/>
        <c:title>
          <c:tx>
            <c:rich>
              <a:bodyPr/>
              <a:lstStyle/>
              <a:p>
                <a:pPr>
                  <a:defRPr/>
                </a:pPr>
                <a:r>
                  <a:rPr lang="en-US"/>
                  <a:t>h/Lo</a:t>
                </a:r>
              </a:p>
            </c:rich>
          </c:tx>
          <c:layout>
            <c:manualLayout>
              <c:xMode val="edge"/>
              <c:yMode val="edge"/>
              <c:x val="0.3852428423511281"/>
              <c:y val="0.91221196949342775"/>
            </c:manualLayout>
          </c:layout>
          <c:overlay val="0"/>
        </c:title>
        <c:numFmt formatCode="0.00" sourceLinked="1"/>
        <c:majorTickMark val="out"/>
        <c:minorTickMark val="none"/>
        <c:tickLblPos val="nextTo"/>
        <c:crossAx val="150461056"/>
        <c:crosses val="autoZero"/>
        <c:crossBetween val="midCat"/>
        <c:majorUnit val="2.0000000000000004E-2"/>
      </c:valAx>
      <c:valAx>
        <c:axId val="150461056"/>
        <c:scaling>
          <c:orientation val="minMax"/>
          <c:max val="1"/>
          <c:min val="0.2"/>
        </c:scaling>
        <c:delete val="0"/>
        <c:axPos val="l"/>
        <c:majorGridlines/>
        <c:title>
          <c:tx>
            <c:rich>
              <a:bodyPr rot="-5400000" vert="horz"/>
              <a:lstStyle/>
              <a:p>
                <a:pPr>
                  <a:defRPr/>
                </a:pPr>
                <a:r>
                  <a:rPr lang="en-US"/>
                  <a:t>Hs/h</a:t>
                </a:r>
              </a:p>
            </c:rich>
          </c:tx>
          <c:overlay val="0"/>
        </c:title>
        <c:numFmt formatCode="0.00" sourceLinked="1"/>
        <c:majorTickMark val="out"/>
        <c:minorTickMark val="none"/>
        <c:tickLblPos val="nextTo"/>
        <c:crossAx val="1504591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c:rich>
      </c:tx>
      <c:overlay val="0"/>
    </c:title>
    <c:autoTitleDeleted val="0"/>
    <c:plotArea>
      <c:layout/>
      <c:scatterChart>
        <c:scatterStyle val="smoothMarker"/>
        <c:varyColors val="0"/>
        <c:ser>
          <c:idx val="1"/>
          <c:order val="0"/>
          <c:tx>
            <c:v>Rc/h = D50/h -0.5</c:v>
          </c:tx>
          <c:marker>
            <c:symbol val="none"/>
          </c:marker>
          <c:xVal>
            <c:numRef>
              <c:f>AdG!$A$44:$A$47</c:f>
              <c:numCache>
                <c:formatCode>General</c:formatCode>
                <c:ptCount val="4"/>
                <c:pt idx="0">
                  <c:v>0.05</c:v>
                </c:pt>
                <c:pt idx="1">
                  <c:v>7.0000000000000007E-2</c:v>
                </c:pt>
                <c:pt idx="2" formatCode="0.00">
                  <c:v>0.1</c:v>
                </c:pt>
                <c:pt idx="3">
                  <c:v>0.15</c:v>
                </c:pt>
              </c:numCache>
            </c:numRef>
          </c:xVal>
          <c:yVal>
            <c:numRef>
              <c:f>AdG!$B$44:$B$47</c:f>
              <c:numCache>
                <c:formatCode>0.00</c:formatCode>
                <c:ptCount val="4"/>
                <c:pt idx="0">
                  <c:v>-0.47499999999999998</c:v>
                </c:pt>
                <c:pt idx="1">
                  <c:v>-0.46499999999999997</c:v>
                </c:pt>
                <c:pt idx="2">
                  <c:v>-0.45</c:v>
                </c:pt>
                <c:pt idx="3">
                  <c:v>-0.42499999999999999</c:v>
                </c:pt>
              </c:numCache>
            </c:numRef>
          </c:yVal>
          <c:smooth val="1"/>
        </c:ser>
        <c:dLbls>
          <c:showLegendKey val="0"/>
          <c:showVal val="0"/>
          <c:showCatName val="0"/>
          <c:showSerName val="0"/>
          <c:showPercent val="0"/>
          <c:showBubbleSize val="0"/>
        </c:dLbls>
        <c:axId val="150527360"/>
        <c:axId val="150529536"/>
      </c:scatterChart>
      <c:valAx>
        <c:axId val="150527360"/>
        <c:scaling>
          <c:orientation val="minMax"/>
          <c:max val="1"/>
          <c:min val="0"/>
        </c:scaling>
        <c:delete val="0"/>
        <c:axPos val="b"/>
        <c:majorGridlines/>
        <c:title>
          <c:tx>
            <c:rich>
              <a:bodyPr/>
              <a:lstStyle/>
              <a:p>
                <a:pPr>
                  <a:defRPr/>
                </a:pPr>
                <a:r>
                  <a:rPr lang="fr-FR" baseline="0"/>
                  <a:t>D50/h</a:t>
                </a:r>
                <a:endParaRPr lang="fr-FR"/>
              </a:p>
            </c:rich>
          </c:tx>
          <c:overlay val="0"/>
        </c:title>
        <c:numFmt formatCode="0.00" sourceLinked="0"/>
        <c:majorTickMark val="out"/>
        <c:minorTickMark val="none"/>
        <c:tickLblPos val="nextTo"/>
        <c:crossAx val="150529536"/>
        <c:crossesAt val="-4"/>
        <c:crossBetween val="midCat"/>
        <c:majorUnit val="0.2"/>
      </c:valAx>
      <c:valAx>
        <c:axId val="150529536"/>
        <c:scaling>
          <c:orientation val="minMax"/>
          <c:max val="0"/>
          <c:min val="-1"/>
        </c:scaling>
        <c:delete val="0"/>
        <c:axPos val="l"/>
        <c:majorGridlines/>
        <c:title>
          <c:tx>
            <c:rich>
              <a:bodyPr rot="-5400000" vert="horz"/>
              <a:lstStyle/>
              <a:p>
                <a:pPr>
                  <a:defRPr/>
                </a:pPr>
                <a:r>
                  <a:rPr lang="en-US" baseline="0"/>
                  <a:t>Rc/h</a:t>
                </a:r>
                <a:endParaRPr lang="en-US"/>
              </a:p>
            </c:rich>
          </c:tx>
          <c:overlay val="0"/>
        </c:title>
        <c:numFmt formatCode="0.00" sourceLinked="0"/>
        <c:majorTickMark val="out"/>
        <c:minorTickMark val="none"/>
        <c:tickLblPos val="nextTo"/>
        <c:crossAx val="150527360"/>
        <c:crossesAt val="-3"/>
        <c:crossBetween val="midCat"/>
        <c:majorUnit val="0.2"/>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99217348962602"/>
          <c:y val="5.4820290320852748E-2"/>
          <c:w val="0.79253120509257613"/>
          <c:h val="0.67175072503692146"/>
        </c:manualLayout>
      </c:layout>
      <c:scatterChart>
        <c:scatterStyle val="smoothMarker"/>
        <c:varyColors val="0"/>
        <c:ser>
          <c:idx val="2"/>
          <c:order val="0"/>
          <c:tx>
            <c:v>Dn = 0.25 m</c:v>
          </c:tx>
          <c:marker>
            <c:symbol val="none"/>
          </c:marker>
          <c:xVal>
            <c:numRef>
              <c:f>'Model tests'!$A$68:$A$87</c:f>
              <c:numCache>
                <c:formatCode>General</c:formatCode>
                <c:ptCount val="20"/>
                <c:pt idx="0">
                  <c:v>0.75</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'Model tests'!$C$68:$C$87</c:f>
              <c:numCache>
                <c:formatCode>0.00</c:formatCode>
                <c:ptCount val="20"/>
                <c:pt idx="0">
                  <c:v>0.15000000000000005</c:v>
                </c:pt>
                <c:pt idx="1">
                  <c:v>-0.56874999999999998</c:v>
                </c:pt>
                <c:pt idx="2">
                  <c:v>-0.71250000000000002</c:v>
                </c:pt>
                <c:pt idx="3">
                  <c:v>-0.78437500000000004</c:v>
                </c:pt>
                <c:pt idx="4">
                  <c:v>-0.82750000000000001</c:v>
                </c:pt>
                <c:pt idx="5">
                  <c:v>-0.85625000000000007</c:v>
                </c:pt>
              </c:numCache>
            </c:numRef>
          </c:yVal>
          <c:smooth val="1"/>
        </c:ser>
        <c:ser>
          <c:idx val="1"/>
          <c:order val="1"/>
          <c:tx>
            <c:v>Dn = 0.5 m</c:v>
          </c:tx>
          <c:marker>
            <c:symbol val="none"/>
          </c:marker>
          <c:xVal>
            <c:numRef>
              <c:f>'Model tests'!$D$68:$D$87</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'Model tests'!$F$68:$F$87</c:f>
              <c:numCache>
                <c:formatCode>0.00</c:formatCode>
                <c:ptCount val="20"/>
                <c:pt idx="0">
                  <c:v>0.72500000000000009</c:v>
                </c:pt>
                <c:pt idx="1">
                  <c:v>-0.13749999999999996</c:v>
                </c:pt>
                <c:pt idx="2">
                  <c:v>-0.42499999999999999</c:v>
                </c:pt>
                <c:pt idx="3">
                  <c:v>-0.56874999999999998</c:v>
                </c:pt>
                <c:pt idx="4">
                  <c:v>-0.65500000000000003</c:v>
                </c:pt>
                <c:pt idx="5">
                  <c:v>-0.71250000000000002</c:v>
                </c:pt>
                <c:pt idx="6">
                  <c:v>-0.75357142857142867</c:v>
                </c:pt>
                <c:pt idx="7">
                  <c:v>-0.78437500000000004</c:v>
                </c:pt>
                <c:pt idx="8">
                  <c:v>-0.80833333333333335</c:v>
                </c:pt>
                <c:pt idx="9">
                  <c:v>-0.82750000000000001</c:v>
                </c:pt>
                <c:pt idx="10">
                  <c:v>-0.84318181818181825</c:v>
                </c:pt>
                <c:pt idx="11">
                  <c:v>-0.85625000000000007</c:v>
                </c:pt>
              </c:numCache>
            </c:numRef>
          </c:yVal>
          <c:smooth val="1"/>
        </c:ser>
        <c:ser>
          <c:idx val="0"/>
          <c:order val="2"/>
          <c:tx>
            <c:v>Dn = 1  m</c:v>
          </c:tx>
          <c:marker>
            <c:symbol val="none"/>
          </c:marker>
          <c:xVal>
            <c:numRef>
              <c:f>'Model tests'!$H$68:$H$87</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'Model tests'!$J$68:$J$87</c:f>
              <c:numCache>
                <c:formatCode>0.00</c:formatCode>
                <c:ptCount val="20"/>
                <c:pt idx="2">
                  <c:v>0.15000000000000005</c:v>
                </c:pt>
                <c:pt idx="3">
                  <c:v>-0.13749999999999996</c:v>
                </c:pt>
                <c:pt idx="4">
                  <c:v>-0.30999999999999994</c:v>
                </c:pt>
                <c:pt idx="5">
                  <c:v>-0.42499999999999999</c:v>
                </c:pt>
                <c:pt idx="6">
                  <c:v>-0.50714285714285712</c:v>
                </c:pt>
                <c:pt idx="7">
                  <c:v>-0.56874999999999998</c:v>
                </c:pt>
                <c:pt idx="8">
                  <c:v>-0.6166666666666667</c:v>
                </c:pt>
                <c:pt idx="9">
                  <c:v>-0.65500000000000003</c:v>
                </c:pt>
                <c:pt idx="10">
                  <c:v>-0.6863636363636364</c:v>
                </c:pt>
                <c:pt idx="11">
                  <c:v>-0.71250000000000002</c:v>
                </c:pt>
                <c:pt idx="12">
                  <c:v>-0.73461538461538467</c:v>
                </c:pt>
                <c:pt idx="13">
                  <c:v>-0.75357142857142867</c:v>
                </c:pt>
                <c:pt idx="14">
                  <c:v>-0.77</c:v>
                </c:pt>
                <c:pt idx="15">
                  <c:v>-0.78437500000000004</c:v>
                </c:pt>
                <c:pt idx="16">
                  <c:v>-0.79705882352941182</c:v>
                </c:pt>
                <c:pt idx="17">
                  <c:v>-0.80833333333333335</c:v>
                </c:pt>
                <c:pt idx="18">
                  <c:v>-0.81842105263157894</c:v>
                </c:pt>
                <c:pt idx="19">
                  <c:v>-0.82750000000000001</c:v>
                </c:pt>
              </c:numCache>
            </c:numRef>
          </c:yVal>
          <c:smooth val="1"/>
        </c:ser>
        <c:ser>
          <c:idx val="3"/>
          <c:order val="3"/>
          <c:tx>
            <c:v>Dn = 1.5 m</c:v>
          </c:tx>
          <c:marker>
            <c:symbol val="none"/>
          </c:marker>
          <c:xVal>
            <c:numRef>
              <c:f>'Model tests'!$K$68:$K$87</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'Model tests'!$M$68:$M$87</c:f>
              <c:numCache>
                <c:formatCode>0.00</c:formatCode>
                <c:ptCount val="20"/>
                <c:pt idx="4">
                  <c:v>3.5000000000000142E-2</c:v>
                </c:pt>
                <c:pt idx="5">
                  <c:v>-0.13749999999999987</c:v>
                </c:pt>
                <c:pt idx="6">
                  <c:v>-0.26071428571428562</c:v>
                </c:pt>
                <c:pt idx="7">
                  <c:v>-0.35312499999999991</c:v>
                </c:pt>
                <c:pt idx="8">
                  <c:v>-0.42499999999999993</c:v>
                </c:pt>
                <c:pt idx="9">
                  <c:v>-0.48249999999999993</c:v>
                </c:pt>
                <c:pt idx="10">
                  <c:v>-0.52954545454545443</c:v>
                </c:pt>
                <c:pt idx="11">
                  <c:v>-0.56874999999999998</c:v>
                </c:pt>
                <c:pt idx="12">
                  <c:v>-0.60192307692307689</c:v>
                </c:pt>
                <c:pt idx="13">
                  <c:v>-0.63035714285714284</c:v>
                </c:pt>
                <c:pt idx="14">
                  <c:v>-0.65499999999999992</c:v>
                </c:pt>
                <c:pt idx="15">
                  <c:v>-0.67656249999999996</c:v>
                </c:pt>
                <c:pt idx="16">
                  <c:v>-0.69558823529411762</c:v>
                </c:pt>
                <c:pt idx="17">
                  <c:v>-0.71249999999999991</c:v>
                </c:pt>
                <c:pt idx="18">
                  <c:v>-0.72763157894736841</c:v>
                </c:pt>
                <c:pt idx="19">
                  <c:v>-0.74124999999999996</c:v>
                </c:pt>
              </c:numCache>
            </c:numRef>
          </c:yVal>
          <c:smooth val="1"/>
        </c:ser>
        <c:dLbls>
          <c:showLegendKey val="0"/>
          <c:showVal val="0"/>
          <c:showCatName val="0"/>
          <c:showSerName val="0"/>
          <c:showPercent val="0"/>
          <c:showBubbleSize val="0"/>
        </c:dLbls>
        <c:axId val="147358848"/>
        <c:axId val="147360768"/>
      </c:scatterChart>
      <c:valAx>
        <c:axId val="147358848"/>
        <c:scaling>
          <c:orientation val="minMax"/>
          <c:max val="20"/>
          <c:min val="0"/>
        </c:scaling>
        <c:delete val="0"/>
        <c:axPos val="b"/>
        <c:majorGridlines/>
        <c:title>
          <c:tx>
            <c:rich>
              <a:bodyPr/>
              <a:lstStyle/>
              <a:p>
                <a:pPr>
                  <a:defRPr/>
                </a:pPr>
                <a:r>
                  <a:rPr lang="fr-FR"/>
                  <a:t>h (m)</a:t>
                </a:r>
              </a:p>
            </c:rich>
          </c:tx>
          <c:layout/>
          <c:overlay val="0"/>
        </c:title>
        <c:numFmt formatCode="0" sourceLinked="0"/>
        <c:majorTickMark val="out"/>
        <c:minorTickMark val="none"/>
        <c:tickLblPos val="nextTo"/>
        <c:crossAx val="147360768"/>
        <c:crossesAt val="-7"/>
        <c:crossBetween val="midCat"/>
        <c:majorUnit val="5"/>
      </c:valAx>
      <c:valAx>
        <c:axId val="147360768"/>
        <c:scaling>
          <c:orientation val="minMax"/>
          <c:max val="0"/>
          <c:min val="-1"/>
        </c:scaling>
        <c:delete val="0"/>
        <c:axPos val="l"/>
        <c:majorGridlines/>
        <c:title>
          <c:tx>
            <c:rich>
              <a:bodyPr rot="-5400000" vert="horz"/>
              <a:lstStyle/>
              <a:p>
                <a:pPr>
                  <a:defRPr/>
                </a:pPr>
                <a:r>
                  <a:rPr lang="en-US"/>
                  <a:t>Rc/h</a:t>
                </a:r>
              </a:p>
            </c:rich>
          </c:tx>
          <c:layout/>
          <c:overlay val="0"/>
        </c:title>
        <c:numFmt formatCode="0.0" sourceLinked="0"/>
        <c:majorTickMark val="out"/>
        <c:minorTickMark val="none"/>
        <c:tickLblPos val="nextTo"/>
        <c:crossAx val="147358848"/>
        <c:crossesAt val="-7"/>
        <c:crossBetween val="midCat"/>
        <c:majorUnit val="0.2"/>
      </c:valAx>
    </c:plotArea>
    <c:legend>
      <c:legendPos val="b"/>
      <c:layout/>
      <c:overlay val="0"/>
    </c:legend>
    <c:plotVisOnly val="1"/>
    <c:dispBlanksAs val="gap"/>
    <c:showDLblsOverMax val="0"/>
  </c:chart>
  <c:spPr>
    <a:solidFill>
      <a:schemeClr val="lt1"/>
    </a:solidFill>
    <a:ln w="28575" cap="flat" cmpd="sng" algn="ctr">
      <a:solidFill>
        <a:schemeClr val="accent2"/>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c:rich>
      </c:tx>
      <c:overlay val="0"/>
    </c:title>
    <c:autoTitleDeleted val="0"/>
    <c:plotArea>
      <c:layout/>
      <c:scatterChart>
        <c:scatterStyle val="smoothMarker"/>
        <c:varyColors val="0"/>
        <c:ser>
          <c:idx val="3"/>
          <c:order val="0"/>
          <c:tx>
            <c:v>h = 1 m</c:v>
          </c:tx>
          <c:marker>
            <c:symbol val="none"/>
          </c:marker>
          <c:xVal>
            <c:numRef>
              <c:f>AdG!$A$53:$A$58</c:f>
              <c:numCache>
                <c:formatCode>0.00</c:formatCode>
                <c:ptCount val="6"/>
                <c:pt idx="0">
                  <c:v>0.05</c:v>
                </c:pt>
                <c:pt idx="1">
                  <c:v>7.0000000000000007E-2</c:v>
                </c:pt>
                <c:pt idx="2">
                  <c:v>0.1</c:v>
                </c:pt>
                <c:pt idx="3">
                  <c:v>0.15</c:v>
                </c:pt>
              </c:numCache>
            </c:numRef>
          </c:xVal>
          <c:yVal>
            <c:numRef>
              <c:f>AdG!$B$53:$B$58</c:f>
              <c:numCache>
                <c:formatCode>0.00</c:formatCode>
                <c:ptCount val="6"/>
                <c:pt idx="0">
                  <c:v>-0.47499999999999998</c:v>
                </c:pt>
                <c:pt idx="1">
                  <c:v>-0.46499999999999997</c:v>
                </c:pt>
                <c:pt idx="2">
                  <c:v>-0.45</c:v>
                </c:pt>
                <c:pt idx="3">
                  <c:v>-0.42499999999999999</c:v>
                </c:pt>
              </c:numCache>
            </c:numRef>
          </c:yVal>
          <c:smooth val="1"/>
        </c:ser>
        <c:ser>
          <c:idx val="2"/>
          <c:order val="1"/>
          <c:tx>
            <c:v>h = 4 m</c:v>
          </c:tx>
          <c:marker>
            <c:symbol val="none"/>
          </c:marker>
          <c:xVal>
            <c:numRef>
              <c:f>AdG!$A$62:$A$67</c:f>
              <c:numCache>
                <c:formatCode>0.00</c:formatCode>
                <c:ptCount val="6"/>
                <c:pt idx="0">
                  <c:v>0.2</c:v>
                </c:pt>
                <c:pt idx="1">
                  <c:v>0.28000000000000003</c:v>
                </c:pt>
                <c:pt idx="2">
                  <c:v>0.4</c:v>
                </c:pt>
                <c:pt idx="3">
                  <c:v>0.6</c:v>
                </c:pt>
              </c:numCache>
            </c:numRef>
          </c:xVal>
          <c:yVal>
            <c:numRef>
              <c:f>AdG!$B$62:$B$67</c:f>
              <c:numCache>
                <c:formatCode>0.00</c:formatCode>
                <c:ptCount val="6"/>
                <c:pt idx="0">
                  <c:v>-1.9</c:v>
                </c:pt>
                <c:pt idx="1">
                  <c:v>-1.8599999999999999</c:v>
                </c:pt>
                <c:pt idx="2">
                  <c:v>-1.8</c:v>
                </c:pt>
                <c:pt idx="3">
                  <c:v>-1.7</c:v>
                </c:pt>
              </c:numCache>
            </c:numRef>
          </c:yVal>
          <c:smooth val="1"/>
        </c:ser>
        <c:ser>
          <c:idx val="0"/>
          <c:order val="2"/>
          <c:tx>
            <c:v>h = 7 m</c:v>
          </c:tx>
          <c:marker>
            <c:symbol val="none"/>
          </c:marker>
          <c:trendline>
            <c:trendlineType val="power"/>
            <c:dispRSqr val="0"/>
            <c:dispEq val="0"/>
          </c:trendline>
          <c:xVal>
            <c:numRef>
              <c:f>AdG!$A$71:$A$76</c:f>
              <c:numCache>
                <c:formatCode>0.00</c:formatCode>
                <c:ptCount val="6"/>
                <c:pt idx="0">
                  <c:v>0.35000000000000003</c:v>
                </c:pt>
                <c:pt idx="1">
                  <c:v>0.49000000000000005</c:v>
                </c:pt>
                <c:pt idx="2">
                  <c:v>0.70000000000000007</c:v>
                </c:pt>
                <c:pt idx="3">
                  <c:v>1.05</c:v>
                </c:pt>
              </c:numCache>
            </c:numRef>
          </c:xVal>
          <c:yVal>
            <c:numRef>
              <c:f>AdG!$B$71:$B$76</c:f>
              <c:numCache>
                <c:formatCode>0.00</c:formatCode>
                <c:ptCount val="6"/>
                <c:pt idx="0">
                  <c:v>-3.3249999999999997</c:v>
                </c:pt>
                <c:pt idx="1">
                  <c:v>-3.2549999999999999</c:v>
                </c:pt>
                <c:pt idx="2">
                  <c:v>-3.15</c:v>
                </c:pt>
                <c:pt idx="3">
                  <c:v>-2.9750000000000001</c:v>
                </c:pt>
              </c:numCache>
            </c:numRef>
          </c:yVal>
          <c:smooth val="1"/>
        </c:ser>
        <c:ser>
          <c:idx val="1"/>
          <c:order val="3"/>
          <c:tx>
            <c:v>h = 10 m</c:v>
          </c:tx>
          <c:marker>
            <c:symbol val="none"/>
          </c:marker>
          <c:xVal>
            <c:numRef>
              <c:f>AdG!$A$80:$A$85</c:f>
              <c:numCache>
                <c:formatCode>0.00</c:formatCode>
                <c:ptCount val="6"/>
                <c:pt idx="0">
                  <c:v>0.5</c:v>
                </c:pt>
                <c:pt idx="1">
                  <c:v>0.70000000000000007</c:v>
                </c:pt>
                <c:pt idx="2">
                  <c:v>1</c:v>
                </c:pt>
                <c:pt idx="3">
                  <c:v>1.5</c:v>
                </c:pt>
              </c:numCache>
            </c:numRef>
          </c:xVal>
          <c:yVal>
            <c:numRef>
              <c:f>AdG!$B$80:$B$85</c:f>
              <c:numCache>
                <c:formatCode>0.00</c:formatCode>
                <c:ptCount val="6"/>
                <c:pt idx="0">
                  <c:v>-4.75</c:v>
                </c:pt>
                <c:pt idx="1">
                  <c:v>-4.6499999999999995</c:v>
                </c:pt>
                <c:pt idx="2">
                  <c:v>-4.5</c:v>
                </c:pt>
                <c:pt idx="3">
                  <c:v>-4.25</c:v>
                </c:pt>
              </c:numCache>
            </c:numRef>
          </c:yVal>
          <c:smooth val="1"/>
        </c:ser>
        <c:dLbls>
          <c:showLegendKey val="0"/>
          <c:showVal val="0"/>
          <c:showCatName val="0"/>
          <c:showSerName val="0"/>
          <c:showPercent val="0"/>
          <c:showBubbleSize val="0"/>
        </c:dLbls>
        <c:axId val="149267584"/>
        <c:axId val="149269504"/>
      </c:scatterChart>
      <c:valAx>
        <c:axId val="149267584"/>
        <c:scaling>
          <c:orientation val="minMax"/>
          <c:max val="3"/>
          <c:min val="0"/>
        </c:scaling>
        <c:delete val="0"/>
        <c:axPos val="b"/>
        <c:majorGridlines/>
        <c:title>
          <c:tx>
            <c:rich>
              <a:bodyPr/>
              <a:lstStyle/>
              <a:p>
                <a:pPr>
                  <a:defRPr/>
                </a:pPr>
                <a:r>
                  <a:rPr lang="fr-FR" baseline="0"/>
                  <a:t>D50 (m)</a:t>
                </a:r>
                <a:endParaRPr lang="fr-FR"/>
              </a:p>
            </c:rich>
          </c:tx>
          <c:overlay val="0"/>
        </c:title>
        <c:numFmt formatCode="0.0" sourceLinked="0"/>
        <c:majorTickMark val="out"/>
        <c:minorTickMark val="none"/>
        <c:tickLblPos val="nextTo"/>
        <c:crossAx val="149269504"/>
        <c:crossesAt val="-7"/>
        <c:crossBetween val="midCat"/>
        <c:majorUnit val="0.5"/>
      </c:valAx>
      <c:valAx>
        <c:axId val="149269504"/>
        <c:scaling>
          <c:orientation val="minMax"/>
        </c:scaling>
        <c:delete val="0"/>
        <c:axPos val="l"/>
        <c:majorGridlines/>
        <c:title>
          <c:tx>
            <c:rich>
              <a:bodyPr rot="-5400000" vert="horz"/>
              <a:lstStyle/>
              <a:p>
                <a:pPr>
                  <a:defRPr/>
                </a:pPr>
                <a:r>
                  <a:rPr lang="en-US" baseline="0"/>
                  <a:t>Rc (m)</a:t>
                </a:r>
                <a:endParaRPr lang="en-US"/>
              </a:p>
            </c:rich>
          </c:tx>
          <c:overlay val="0"/>
        </c:title>
        <c:numFmt formatCode="0" sourceLinked="0"/>
        <c:majorTickMark val="out"/>
        <c:minorTickMark val="none"/>
        <c:tickLblPos val="nextTo"/>
        <c:crossAx val="149267584"/>
        <c:crossesAt val="-7"/>
        <c:crossBetween val="midCat"/>
        <c:majorUnit val="1"/>
      </c:valAx>
    </c:plotArea>
    <c:legend>
      <c:legendPos val="b"/>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c:rich>
      </c:tx>
      <c:overlay val="0"/>
    </c:title>
    <c:autoTitleDeleted val="0"/>
    <c:plotArea>
      <c:layout/>
      <c:scatterChart>
        <c:scatterStyle val="smoothMarker"/>
        <c:varyColors val="0"/>
        <c:ser>
          <c:idx val="3"/>
          <c:order val="0"/>
          <c:tx>
            <c:v>D50 = 2 m</c:v>
          </c:tx>
          <c:marker>
            <c:symbol val="none"/>
          </c:marker>
          <c:xVal>
            <c:numRef>
              <c:f>AdG!$K$103:$K$117</c:f>
              <c:numCache>
                <c:formatCode>General</c:formatCode>
                <c:ptCount val="15"/>
                <c:pt idx="0">
                  <c:v>1</c:v>
                </c:pt>
                <c:pt idx="1">
                  <c:v>2</c:v>
                </c:pt>
                <c:pt idx="2">
                  <c:v>3</c:v>
                </c:pt>
                <c:pt idx="3">
                  <c:v>4</c:v>
                </c:pt>
                <c:pt idx="4">
                  <c:v>5</c:v>
                </c:pt>
                <c:pt idx="5">
                  <c:v>6</c:v>
                </c:pt>
                <c:pt idx="6">
                  <c:v>7</c:v>
                </c:pt>
                <c:pt idx="7">
                  <c:v>8</c:v>
                </c:pt>
                <c:pt idx="8">
                  <c:v>9</c:v>
                </c:pt>
                <c:pt idx="9">
                  <c:v>9.5</c:v>
                </c:pt>
                <c:pt idx="10">
                  <c:v>11</c:v>
                </c:pt>
                <c:pt idx="11">
                  <c:v>12</c:v>
                </c:pt>
                <c:pt idx="12">
                  <c:v>13</c:v>
                </c:pt>
                <c:pt idx="13">
                  <c:v>14</c:v>
                </c:pt>
                <c:pt idx="14">
                  <c:v>15</c:v>
                </c:pt>
              </c:numCache>
            </c:numRef>
          </c:xVal>
          <c:yVal>
            <c:numRef>
              <c:f>AdG!$L$103:$L$117</c:f>
              <c:numCache>
                <c:formatCode>General</c:formatCode>
                <c:ptCount val="15"/>
                <c:pt idx="9">
                  <c:v>-4</c:v>
                </c:pt>
                <c:pt idx="10">
                  <c:v>-4.75</c:v>
                </c:pt>
                <c:pt idx="11">
                  <c:v>-5.25</c:v>
                </c:pt>
                <c:pt idx="12">
                  <c:v>-5.75</c:v>
                </c:pt>
                <c:pt idx="13">
                  <c:v>-6.25</c:v>
                </c:pt>
                <c:pt idx="14">
                  <c:v>-6.75</c:v>
                </c:pt>
              </c:numCache>
            </c:numRef>
          </c:yVal>
          <c:smooth val="1"/>
        </c:ser>
        <c:ser>
          <c:idx val="0"/>
          <c:order val="1"/>
          <c:tx>
            <c:v>D50 = 1  m</c:v>
          </c:tx>
          <c:marker>
            <c:symbol val="none"/>
          </c:marker>
          <c:xVal>
            <c:numRef>
              <c:f>AdG!$H$103:$H$117</c:f>
              <c:numCache>
                <c:formatCode>General</c:formatCode>
                <c:ptCount val="15"/>
                <c:pt idx="0">
                  <c:v>1</c:v>
                </c:pt>
                <c:pt idx="1">
                  <c:v>2</c:v>
                </c:pt>
                <c:pt idx="2">
                  <c:v>3</c:v>
                </c:pt>
                <c:pt idx="3">
                  <c:v>4</c:v>
                </c:pt>
                <c:pt idx="4">
                  <c:v>5</c:v>
                </c:pt>
                <c:pt idx="5">
                  <c:v>6.2</c:v>
                </c:pt>
                <c:pt idx="6">
                  <c:v>7</c:v>
                </c:pt>
                <c:pt idx="7">
                  <c:v>8</c:v>
                </c:pt>
                <c:pt idx="8">
                  <c:v>9</c:v>
                </c:pt>
                <c:pt idx="9">
                  <c:v>10</c:v>
                </c:pt>
                <c:pt idx="10">
                  <c:v>11</c:v>
                </c:pt>
                <c:pt idx="11">
                  <c:v>12</c:v>
                </c:pt>
                <c:pt idx="12">
                  <c:v>13</c:v>
                </c:pt>
                <c:pt idx="13">
                  <c:v>14</c:v>
                </c:pt>
                <c:pt idx="14">
                  <c:v>15</c:v>
                </c:pt>
              </c:numCache>
            </c:numRef>
          </c:xVal>
          <c:yVal>
            <c:numRef>
              <c:f>AdG!$I$103:$I$117</c:f>
              <c:numCache>
                <c:formatCode>General</c:formatCode>
                <c:ptCount val="15"/>
                <c:pt idx="5">
                  <c:v>-2.6</c:v>
                </c:pt>
                <c:pt idx="6">
                  <c:v>-3</c:v>
                </c:pt>
                <c:pt idx="7">
                  <c:v>-3.5</c:v>
                </c:pt>
                <c:pt idx="8">
                  <c:v>-4</c:v>
                </c:pt>
                <c:pt idx="9">
                  <c:v>-4.5</c:v>
                </c:pt>
                <c:pt idx="10">
                  <c:v>-5</c:v>
                </c:pt>
                <c:pt idx="11">
                  <c:v>-5.5</c:v>
                </c:pt>
                <c:pt idx="12">
                  <c:v>-6</c:v>
                </c:pt>
                <c:pt idx="13">
                  <c:v>-6.5</c:v>
                </c:pt>
                <c:pt idx="14">
                  <c:v>-7</c:v>
                </c:pt>
              </c:numCache>
            </c:numRef>
          </c:yVal>
          <c:smooth val="1"/>
        </c:ser>
        <c:ser>
          <c:idx val="1"/>
          <c:order val="2"/>
          <c:tx>
            <c:v>D50 = 0.5 m</c:v>
          </c:tx>
          <c:marker>
            <c:symbol val="none"/>
          </c:marker>
          <c:xVal>
            <c:numRef>
              <c:f>AdG!$D$103:$D$117</c:f>
              <c:numCache>
                <c:formatCode>General</c:formatCode>
                <c:ptCount val="15"/>
                <c:pt idx="0">
                  <c:v>1</c:v>
                </c:pt>
                <c:pt idx="1">
                  <c:v>2</c:v>
                </c:pt>
                <c:pt idx="2">
                  <c:v>3.1</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AdG!$E$103:$E$117</c:f>
              <c:numCache>
                <c:formatCode>General</c:formatCode>
                <c:ptCount val="15"/>
                <c:pt idx="2">
                  <c:v>-1.3</c:v>
                </c:pt>
                <c:pt idx="3">
                  <c:v>-1.75</c:v>
                </c:pt>
                <c:pt idx="4">
                  <c:v>-2.25</c:v>
                </c:pt>
                <c:pt idx="5">
                  <c:v>-2.75</c:v>
                </c:pt>
                <c:pt idx="6">
                  <c:v>-3.25</c:v>
                </c:pt>
                <c:pt idx="7">
                  <c:v>-3.75</c:v>
                </c:pt>
                <c:pt idx="8">
                  <c:v>-4.25</c:v>
                </c:pt>
              </c:numCache>
            </c:numRef>
          </c:yVal>
          <c:smooth val="1"/>
        </c:ser>
        <c:ser>
          <c:idx val="2"/>
          <c:order val="3"/>
          <c:tx>
            <c:v>D50 = 0.25 m</c:v>
          </c:tx>
          <c:marker>
            <c:symbol val="none"/>
          </c:marker>
          <c:xVal>
            <c:numRef>
              <c:f>AdG!$A$103:$A$117</c:f>
              <c:numCache>
                <c:formatCode>General</c:formatCode>
                <c:ptCount val="15"/>
                <c:pt idx="0">
                  <c:v>1.5</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AdG!$B$103:$B$117</c:f>
              <c:numCache>
                <c:formatCode>0.00</c:formatCode>
                <c:ptCount val="15"/>
                <c:pt idx="0">
                  <c:v>-0.625</c:v>
                </c:pt>
                <c:pt idx="1">
                  <c:v>-0.875</c:v>
                </c:pt>
                <c:pt idx="2">
                  <c:v>-1.375</c:v>
                </c:pt>
                <c:pt idx="3">
                  <c:v>-1.875</c:v>
                </c:pt>
                <c:pt idx="4">
                  <c:v>-2.375</c:v>
                </c:pt>
              </c:numCache>
            </c:numRef>
          </c:yVal>
          <c:smooth val="1"/>
        </c:ser>
        <c:dLbls>
          <c:showLegendKey val="0"/>
          <c:showVal val="0"/>
          <c:showCatName val="0"/>
          <c:showSerName val="0"/>
          <c:showPercent val="0"/>
          <c:showBubbleSize val="0"/>
        </c:dLbls>
        <c:axId val="149899520"/>
        <c:axId val="149913984"/>
      </c:scatterChart>
      <c:valAx>
        <c:axId val="149899520"/>
        <c:scaling>
          <c:orientation val="minMax"/>
          <c:max val="15"/>
          <c:min val="0"/>
        </c:scaling>
        <c:delete val="0"/>
        <c:axPos val="b"/>
        <c:majorGridlines/>
        <c:title>
          <c:tx>
            <c:rich>
              <a:bodyPr/>
              <a:lstStyle/>
              <a:p>
                <a:pPr>
                  <a:defRPr/>
                </a:pPr>
                <a:r>
                  <a:rPr lang="fr-FR" baseline="0"/>
                  <a:t>h (m)</a:t>
                </a:r>
                <a:endParaRPr lang="fr-FR"/>
              </a:p>
            </c:rich>
          </c:tx>
          <c:overlay val="0"/>
        </c:title>
        <c:numFmt formatCode="0" sourceLinked="0"/>
        <c:majorTickMark val="out"/>
        <c:minorTickMark val="none"/>
        <c:tickLblPos val="nextTo"/>
        <c:crossAx val="149913984"/>
        <c:crossesAt val="-7"/>
        <c:crossBetween val="midCat"/>
        <c:majorUnit val="3"/>
      </c:valAx>
      <c:valAx>
        <c:axId val="149913984"/>
        <c:scaling>
          <c:orientation val="minMax"/>
          <c:max val="0"/>
          <c:min val="-7"/>
        </c:scaling>
        <c:delete val="0"/>
        <c:axPos val="l"/>
        <c:majorGridlines/>
        <c:title>
          <c:tx>
            <c:rich>
              <a:bodyPr rot="-5400000" vert="horz"/>
              <a:lstStyle/>
              <a:p>
                <a:pPr>
                  <a:defRPr/>
                </a:pPr>
                <a:r>
                  <a:rPr lang="en-US" baseline="0"/>
                  <a:t>Rc (m)</a:t>
                </a:r>
                <a:endParaRPr lang="en-US"/>
              </a:p>
            </c:rich>
          </c:tx>
          <c:overlay val="0"/>
        </c:title>
        <c:numFmt formatCode="0.0" sourceLinked="0"/>
        <c:majorTickMark val="out"/>
        <c:minorTickMark val="none"/>
        <c:tickLblPos val="nextTo"/>
        <c:crossAx val="149899520"/>
        <c:crossesAt val="-7"/>
        <c:crossBetween val="midCat"/>
        <c:majorUnit val="1"/>
      </c:valAx>
    </c:plotArea>
    <c:legend>
      <c:legendPos val="b"/>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a:p>
            <a:pPr>
              <a:defRPr/>
            </a:pPr>
            <a:r>
              <a:rPr lang="en-US"/>
              <a:t>AdG formula</a:t>
            </a:r>
          </a:p>
        </c:rich>
      </c:tx>
      <c:overlay val="0"/>
    </c:title>
    <c:autoTitleDeleted val="0"/>
    <c:plotArea>
      <c:layout/>
      <c:scatterChart>
        <c:scatterStyle val="smoothMarker"/>
        <c:varyColors val="0"/>
        <c:ser>
          <c:idx val="3"/>
          <c:order val="0"/>
          <c:tx>
            <c:v>D50 = 1.5 m</c:v>
          </c:tx>
          <c:marker>
            <c:symbol val="none"/>
          </c:marker>
          <c:xVal>
            <c:numRef>
              <c:f>AdG!$K$103:$K$117</c:f>
              <c:numCache>
                <c:formatCode>General</c:formatCode>
                <c:ptCount val="15"/>
                <c:pt idx="0">
                  <c:v>1</c:v>
                </c:pt>
                <c:pt idx="1">
                  <c:v>2</c:v>
                </c:pt>
                <c:pt idx="2">
                  <c:v>3</c:v>
                </c:pt>
                <c:pt idx="3">
                  <c:v>4</c:v>
                </c:pt>
                <c:pt idx="4">
                  <c:v>5</c:v>
                </c:pt>
                <c:pt idx="5">
                  <c:v>6</c:v>
                </c:pt>
                <c:pt idx="6">
                  <c:v>7</c:v>
                </c:pt>
                <c:pt idx="7">
                  <c:v>8</c:v>
                </c:pt>
                <c:pt idx="8">
                  <c:v>9</c:v>
                </c:pt>
                <c:pt idx="9">
                  <c:v>9.5</c:v>
                </c:pt>
                <c:pt idx="10">
                  <c:v>11</c:v>
                </c:pt>
                <c:pt idx="11">
                  <c:v>12</c:v>
                </c:pt>
                <c:pt idx="12">
                  <c:v>13</c:v>
                </c:pt>
                <c:pt idx="13">
                  <c:v>14</c:v>
                </c:pt>
                <c:pt idx="14">
                  <c:v>15</c:v>
                </c:pt>
              </c:numCache>
            </c:numRef>
          </c:xVal>
          <c:yVal>
            <c:numRef>
              <c:f>AdG!$M$103:$M$117</c:f>
              <c:numCache>
                <c:formatCode>0.00</c:formatCode>
                <c:ptCount val="15"/>
                <c:pt idx="9">
                  <c:v>-0.42105263157894735</c:v>
                </c:pt>
                <c:pt idx="10">
                  <c:v>-0.43181818181818182</c:v>
                </c:pt>
                <c:pt idx="11">
                  <c:v>-0.4375</c:v>
                </c:pt>
                <c:pt idx="12">
                  <c:v>-0.44230769230769229</c:v>
                </c:pt>
                <c:pt idx="13">
                  <c:v>-0.44642857142857145</c:v>
                </c:pt>
                <c:pt idx="14">
                  <c:v>-0.45</c:v>
                </c:pt>
              </c:numCache>
            </c:numRef>
          </c:yVal>
          <c:smooth val="1"/>
        </c:ser>
        <c:ser>
          <c:idx val="0"/>
          <c:order val="1"/>
          <c:tx>
            <c:v>D50 = 1  m</c:v>
          </c:tx>
          <c:marker>
            <c:symbol val="none"/>
          </c:marker>
          <c:xVal>
            <c:numRef>
              <c:f>AdG!$H$103:$H$117</c:f>
              <c:numCache>
                <c:formatCode>General</c:formatCode>
                <c:ptCount val="15"/>
                <c:pt idx="0">
                  <c:v>1</c:v>
                </c:pt>
                <c:pt idx="1">
                  <c:v>2</c:v>
                </c:pt>
                <c:pt idx="2">
                  <c:v>3</c:v>
                </c:pt>
                <c:pt idx="3">
                  <c:v>4</c:v>
                </c:pt>
                <c:pt idx="4">
                  <c:v>5</c:v>
                </c:pt>
                <c:pt idx="5">
                  <c:v>6.2</c:v>
                </c:pt>
                <c:pt idx="6">
                  <c:v>7</c:v>
                </c:pt>
                <c:pt idx="7">
                  <c:v>8</c:v>
                </c:pt>
                <c:pt idx="8">
                  <c:v>9</c:v>
                </c:pt>
                <c:pt idx="9">
                  <c:v>10</c:v>
                </c:pt>
                <c:pt idx="10">
                  <c:v>11</c:v>
                </c:pt>
                <c:pt idx="11">
                  <c:v>12</c:v>
                </c:pt>
                <c:pt idx="12">
                  <c:v>13</c:v>
                </c:pt>
                <c:pt idx="13">
                  <c:v>14</c:v>
                </c:pt>
                <c:pt idx="14">
                  <c:v>15</c:v>
                </c:pt>
              </c:numCache>
            </c:numRef>
          </c:xVal>
          <c:yVal>
            <c:numRef>
              <c:f>AdG!$J$103:$J$117</c:f>
              <c:numCache>
                <c:formatCode>0.00</c:formatCode>
                <c:ptCount val="15"/>
                <c:pt idx="5">
                  <c:v>-0.41935483870967744</c:v>
                </c:pt>
                <c:pt idx="6">
                  <c:v>-0.4285714285714286</c:v>
                </c:pt>
                <c:pt idx="7">
                  <c:v>-0.4375</c:v>
                </c:pt>
                <c:pt idx="8">
                  <c:v>-0.44444444444444442</c:v>
                </c:pt>
                <c:pt idx="9">
                  <c:v>-0.45</c:v>
                </c:pt>
                <c:pt idx="10">
                  <c:v>-0.45454545454545453</c:v>
                </c:pt>
                <c:pt idx="11">
                  <c:v>-0.45833333333333331</c:v>
                </c:pt>
                <c:pt idx="12">
                  <c:v>-0.46153846153846156</c:v>
                </c:pt>
                <c:pt idx="13">
                  <c:v>-0.4642857142857143</c:v>
                </c:pt>
                <c:pt idx="14">
                  <c:v>-0.46666666666666667</c:v>
                </c:pt>
              </c:numCache>
            </c:numRef>
          </c:yVal>
          <c:smooth val="1"/>
        </c:ser>
        <c:ser>
          <c:idx val="1"/>
          <c:order val="2"/>
          <c:tx>
            <c:v>D50 = 0.5 m</c:v>
          </c:tx>
          <c:marker>
            <c:symbol val="none"/>
          </c:marker>
          <c:xVal>
            <c:numRef>
              <c:f>AdG!$D$103:$D$117</c:f>
              <c:numCache>
                <c:formatCode>General</c:formatCode>
                <c:ptCount val="15"/>
                <c:pt idx="0">
                  <c:v>1</c:v>
                </c:pt>
                <c:pt idx="1">
                  <c:v>2</c:v>
                </c:pt>
                <c:pt idx="2">
                  <c:v>3.1</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AdG!$F$103:$F$117</c:f>
              <c:numCache>
                <c:formatCode>0.00</c:formatCode>
                <c:ptCount val="15"/>
                <c:pt idx="2">
                  <c:v>-0.41935483870967744</c:v>
                </c:pt>
                <c:pt idx="3">
                  <c:v>-0.4375</c:v>
                </c:pt>
                <c:pt idx="4">
                  <c:v>-0.45</c:v>
                </c:pt>
                <c:pt idx="5">
                  <c:v>-0.45833333333333331</c:v>
                </c:pt>
                <c:pt idx="6">
                  <c:v>-0.4642857142857143</c:v>
                </c:pt>
                <c:pt idx="7">
                  <c:v>-0.46875</c:v>
                </c:pt>
                <c:pt idx="8">
                  <c:v>-0.47222222222222221</c:v>
                </c:pt>
              </c:numCache>
            </c:numRef>
          </c:yVal>
          <c:smooth val="1"/>
        </c:ser>
        <c:ser>
          <c:idx val="2"/>
          <c:order val="3"/>
          <c:tx>
            <c:v>D50 = 0.25 m</c:v>
          </c:tx>
          <c:marker>
            <c:symbol val="none"/>
          </c:marker>
          <c:xVal>
            <c:numRef>
              <c:f>AdG!$A$103:$A$117</c:f>
              <c:numCache>
                <c:formatCode>General</c:formatCode>
                <c:ptCount val="15"/>
                <c:pt idx="0">
                  <c:v>1.5</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AdG!$C$103:$C$117</c:f>
              <c:numCache>
                <c:formatCode>0.00</c:formatCode>
                <c:ptCount val="15"/>
                <c:pt idx="0">
                  <c:v>-0.41666666666666669</c:v>
                </c:pt>
                <c:pt idx="1">
                  <c:v>-0.4375</c:v>
                </c:pt>
                <c:pt idx="2">
                  <c:v>-0.45833333333333331</c:v>
                </c:pt>
                <c:pt idx="3">
                  <c:v>-0.46875</c:v>
                </c:pt>
                <c:pt idx="4">
                  <c:v>-0.47499999999999998</c:v>
                </c:pt>
              </c:numCache>
            </c:numRef>
          </c:yVal>
          <c:smooth val="1"/>
        </c:ser>
        <c:dLbls>
          <c:showLegendKey val="0"/>
          <c:showVal val="0"/>
          <c:showCatName val="0"/>
          <c:showSerName val="0"/>
          <c:showPercent val="0"/>
          <c:showBubbleSize val="0"/>
        </c:dLbls>
        <c:axId val="149945344"/>
        <c:axId val="149947520"/>
      </c:scatterChart>
      <c:valAx>
        <c:axId val="149945344"/>
        <c:scaling>
          <c:orientation val="minMax"/>
          <c:max val="15"/>
          <c:min val="0"/>
        </c:scaling>
        <c:delete val="0"/>
        <c:axPos val="b"/>
        <c:majorGridlines/>
        <c:title>
          <c:tx>
            <c:rich>
              <a:bodyPr/>
              <a:lstStyle/>
              <a:p>
                <a:pPr>
                  <a:defRPr/>
                </a:pPr>
                <a:r>
                  <a:rPr lang="fr-FR"/>
                  <a:t>h (m)</a:t>
                </a:r>
              </a:p>
            </c:rich>
          </c:tx>
          <c:overlay val="0"/>
        </c:title>
        <c:numFmt formatCode="0" sourceLinked="0"/>
        <c:majorTickMark val="out"/>
        <c:minorTickMark val="none"/>
        <c:tickLblPos val="nextTo"/>
        <c:crossAx val="149947520"/>
        <c:crossesAt val="-7"/>
        <c:crossBetween val="midCat"/>
        <c:majorUnit val="3"/>
      </c:valAx>
      <c:valAx>
        <c:axId val="149947520"/>
        <c:scaling>
          <c:orientation val="minMax"/>
          <c:max val="0"/>
          <c:min val="-1"/>
        </c:scaling>
        <c:delete val="0"/>
        <c:axPos val="l"/>
        <c:majorGridlines/>
        <c:title>
          <c:tx>
            <c:rich>
              <a:bodyPr rot="-5400000" vert="horz"/>
              <a:lstStyle/>
              <a:p>
                <a:pPr>
                  <a:defRPr/>
                </a:pPr>
                <a:r>
                  <a:rPr lang="en-US"/>
                  <a:t>Rc/h</a:t>
                </a:r>
              </a:p>
            </c:rich>
          </c:tx>
          <c:overlay val="0"/>
        </c:title>
        <c:numFmt formatCode="0.0" sourceLinked="0"/>
        <c:majorTickMark val="out"/>
        <c:minorTickMark val="none"/>
        <c:tickLblPos val="nextTo"/>
        <c:crossAx val="149945344"/>
        <c:crossesAt val="-7"/>
        <c:crossBetween val="midCat"/>
        <c:majorUnit val="0.2"/>
      </c:valAx>
    </c:plotArea>
    <c:legend>
      <c:legendPos val="b"/>
      <c:overlay val="0"/>
    </c:legend>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c:rich>
      </c:tx>
      <c:overlay val="0"/>
    </c:title>
    <c:autoTitleDeleted val="0"/>
    <c:plotArea>
      <c:layout/>
      <c:scatterChart>
        <c:scatterStyle val="smoothMarker"/>
        <c:varyColors val="0"/>
        <c:ser>
          <c:idx val="1"/>
          <c:order val="0"/>
          <c:tx>
            <c:v>Rc/h = 3.45 D50/h - 1</c:v>
          </c:tx>
          <c:spPr>
            <a:ln>
              <a:prstDash val="sysDash"/>
            </a:ln>
          </c:spPr>
          <c:marker>
            <c:symbol val="none"/>
          </c:marker>
          <c:xVal>
            <c:numRef>
              <c:f>AdG!$O$47:$O$50</c:f>
              <c:numCache>
                <c:formatCode>0.00</c:formatCode>
                <c:ptCount val="4"/>
                <c:pt idx="0" formatCode="General">
                  <c:v>0.15</c:v>
                </c:pt>
                <c:pt idx="1">
                  <c:v>0.2</c:v>
                </c:pt>
                <c:pt idx="2" formatCode="General">
                  <c:v>0.25</c:v>
                </c:pt>
                <c:pt idx="3">
                  <c:v>0.3</c:v>
                </c:pt>
              </c:numCache>
            </c:numRef>
          </c:xVal>
          <c:yVal>
            <c:numRef>
              <c:f>AdG!$P$47:$P$50</c:f>
              <c:numCache>
                <c:formatCode>0.00</c:formatCode>
                <c:ptCount val="4"/>
                <c:pt idx="0">
                  <c:v>-0.48250000000000004</c:v>
                </c:pt>
                <c:pt idx="1">
                  <c:v>-0.30999999999999994</c:v>
                </c:pt>
                <c:pt idx="2">
                  <c:v>-0.13749999999999996</c:v>
                </c:pt>
                <c:pt idx="3">
                  <c:v>3.499999999999992E-2</c:v>
                </c:pt>
              </c:numCache>
            </c:numRef>
          </c:yVal>
          <c:smooth val="1"/>
        </c:ser>
        <c:dLbls>
          <c:showLegendKey val="0"/>
          <c:showVal val="0"/>
          <c:showCatName val="0"/>
          <c:showSerName val="0"/>
          <c:showPercent val="0"/>
          <c:showBubbleSize val="0"/>
        </c:dLbls>
        <c:axId val="150001152"/>
        <c:axId val="150003072"/>
      </c:scatterChart>
      <c:valAx>
        <c:axId val="150001152"/>
        <c:scaling>
          <c:orientation val="minMax"/>
          <c:max val="1"/>
          <c:min val="0"/>
        </c:scaling>
        <c:delete val="0"/>
        <c:axPos val="b"/>
        <c:majorGridlines/>
        <c:title>
          <c:tx>
            <c:rich>
              <a:bodyPr/>
              <a:lstStyle/>
              <a:p>
                <a:pPr>
                  <a:defRPr/>
                </a:pPr>
                <a:r>
                  <a:rPr lang="fr-FR" baseline="0"/>
                  <a:t>D50/h</a:t>
                </a:r>
                <a:endParaRPr lang="fr-FR"/>
              </a:p>
            </c:rich>
          </c:tx>
          <c:overlay val="0"/>
        </c:title>
        <c:numFmt formatCode="0.00" sourceLinked="0"/>
        <c:majorTickMark val="out"/>
        <c:minorTickMark val="none"/>
        <c:tickLblPos val="nextTo"/>
        <c:crossAx val="150003072"/>
        <c:crossesAt val="-4"/>
        <c:crossBetween val="midCat"/>
        <c:majorUnit val="0.2"/>
      </c:valAx>
      <c:valAx>
        <c:axId val="150003072"/>
        <c:scaling>
          <c:orientation val="minMax"/>
          <c:max val="0"/>
          <c:min val="-1"/>
        </c:scaling>
        <c:delete val="0"/>
        <c:axPos val="l"/>
        <c:majorGridlines/>
        <c:title>
          <c:tx>
            <c:rich>
              <a:bodyPr rot="-5400000" vert="horz"/>
              <a:lstStyle/>
              <a:p>
                <a:pPr>
                  <a:defRPr/>
                </a:pPr>
                <a:r>
                  <a:rPr lang="en-US" baseline="0"/>
                  <a:t>Rc/h</a:t>
                </a:r>
                <a:endParaRPr lang="en-US"/>
              </a:p>
            </c:rich>
          </c:tx>
          <c:overlay val="0"/>
        </c:title>
        <c:numFmt formatCode="0.00" sourceLinked="0"/>
        <c:majorTickMark val="out"/>
        <c:minorTickMark val="none"/>
        <c:tickLblPos val="nextTo"/>
        <c:crossAx val="150001152"/>
        <c:crossesAt val="-3"/>
        <c:crossBetween val="midCat"/>
        <c:majorUnit val="0.2"/>
      </c:valAx>
    </c:plotArea>
    <c:legend>
      <c:legendPos val="b"/>
      <c:overlay val="0"/>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c:rich>
      </c:tx>
      <c:overlay val="0"/>
    </c:title>
    <c:autoTitleDeleted val="0"/>
    <c:plotArea>
      <c:layout/>
      <c:scatterChart>
        <c:scatterStyle val="smoothMarker"/>
        <c:varyColors val="0"/>
        <c:ser>
          <c:idx val="3"/>
          <c:order val="0"/>
          <c:tx>
            <c:v>h = 1 m</c:v>
          </c:tx>
          <c:spPr>
            <a:ln>
              <a:prstDash val="sysDash"/>
            </a:ln>
          </c:spPr>
          <c:marker>
            <c:symbol val="none"/>
          </c:marker>
          <c:xVal>
            <c:numRef>
              <c:f>AdG!$O$53:$O$59</c:f>
              <c:numCache>
                <c:formatCode>0.00</c:formatCode>
                <c:ptCount val="7"/>
                <c:pt idx="3">
                  <c:v>0.15</c:v>
                </c:pt>
                <c:pt idx="4">
                  <c:v>0.2</c:v>
                </c:pt>
                <c:pt idx="5">
                  <c:v>0.25</c:v>
                </c:pt>
                <c:pt idx="6">
                  <c:v>0.3</c:v>
                </c:pt>
              </c:numCache>
            </c:numRef>
          </c:xVal>
          <c:yVal>
            <c:numRef>
              <c:f>AdG!$P$53:$P$59</c:f>
              <c:numCache>
                <c:formatCode>0.00</c:formatCode>
                <c:ptCount val="7"/>
                <c:pt idx="3">
                  <c:v>-0.48250000000000004</c:v>
                </c:pt>
                <c:pt idx="4">
                  <c:v>-0.30999999999999994</c:v>
                </c:pt>
                <c:pt idx="5">
                  <c:v>-0.13749999999999996</c:v>
                </c:pt>
                <c:pt idx="6">
                  <c:v>3.499999999999992E-2</c:v>
                </c:pt>
              </c:numCache>
            </c:numRef>
          </c:yVal>
          <c:smooth val="1"/>
        </c:ser>
        <c:ser>
          <c:idx val="2"/>
          <c:order val="1"/>
          <c:tx>
            <c:v>h = 4 m</c:v>
          </c:tx>
          <c:spPr>
            <a:ln>
              <a:prstDash val="sysDash"/>
            </a:ln>
          </c:spPr>
          <c:marker>
            <c:symbol val="none"/>
          </c:marker>
          <c:xVal>
            <c:numRef>
              <c:f>AdG!$O$62:$O$68</c:f>
              <c:numCache>
                <c:formatCode>0.00</c:formatCode>
                <c:ptCount val="7"/>
                <c:pt idx="3">
                  <c:v>0.6</c:v>
                </c:pt>
                <c:pt idx="4">
                  <c:v>0.8</c:v>
                </c:pt>
                <c:pt idx="5">
                  <c:v>1</c:v>
                </c:pt>
                <c:pt idx="6">
                  <c:v>1.2</c:v>
                </c:pt>
              </c:numCache>
            </c:numRef>
          </c:xVal>
          <c:yVal>
            <c:numRef>
              <c:f>AdG!$P$62:$P$68</c:f>
              <c:numCache>
                <c:formatCode>0.00</c:formatCode>
                <c:ptCount val="7"/>
                <c:pt idx="3">
                  <c:v>-1.9300000000000002</c:v>
                </c:pt>
                <c:pt idx="4">
                  <c:v>-1.2399999999999998</c:v>
                </c:pt>
                <c:pt idx="5">
                  <c:v>-0.54999999999999982</c:v>
                </c:pt>
                <c:pt idx="6">
                  <c:v>0.13999999999999968</c:v>
                </c:pt>
              </c:numCache>
            </c:numRef>
          </c:yVal>
          <c:smooth val="1"/>
        </c:ser>
        <c:ser>
          <c:idx val="0"/>
          <c:order val="2"/>
          <c:tx>
            <c:v>h = 7 m</c:v>
          </c:tx>
          <c:spPr>
            <a:ln>
              <a:prstDash val="sysDash"/>
            </a:ln>
          </c:spPr>
          <c:marker>
            <c:symbol val="none"/>
          </c:marker>
          <c:trendline>
            <c:trendlineType val="power"/>
            <c:dispRSqr val="0"/>
            <c:dispEq val="0"/>
          </c:trendline>
          <c:xVal>
            <c:numRef>
              <c:f>AdG!$O$71:$O$77</c:f>
              <c:numCache>
                <c:formatCode>0.00</c:formatCode>
                <c:ptCount val="7"/>
                <c:pt idx="3">
                  <c:v>1.05</c:v>
                </c:pt>
                <c:pt idx="4">
                  <c:v>1.4000000000000001</c:v>
                </c:pt>
                <c:pt idx="5">
                  <c:v>1.75</c:v>
                </c:pt>
                <c:pt idx="6">
                  <c:v>2.1</c:v>
                </c:pt>
              </c:numCache>
            </c:numRef>
          </c:xVal>
          <c:yVal>
            <c:numRef>
              <c:f>AdG!$P$71:$P$77</c:f>
              <c:numCache>
                <c:formatCode>0.00</c:formatCode>
                <c:ptCount val="7"/>
                <c:pt idx="3">
                  <c:v>-3.3775000000000004</c:v>
                </c:pt>
                <c:pt idx="4">
                  <c:v>-2.1699999999999995</c:v>
                </c:pt>
                <c:pt idx="5">
                  <c:v>-0.96249999999999969</c:v>
                </c:pt>
                <c:pt idx="6">
                  <c:v>0.24499999999999944</c:v>
                </c:pt>
              </c:numCache>
            </c:numRef>
          </c:yVal>
          <c:smooth val="1"/>
        </c:ser>
        <c:ser>
          <c:idx val="1"/>
          <c:order val="3"/>
          <c:tx>
            <c:v>h = 10 m</c:v>
          </c:tx>
          <c:spPr>
            <a:ln>
              <a:prstDash val="sysDash"/>
            </a:ln>
          </c:spPr>
          <c:marker>
            <c:symbol val="none"/>
          </c:marker>
          <c:xVal>
            <c:numRef>
              <c:f>AdG!$O$80:$O$86</c:f>
              <c:numCache>
                <c:formatCode>0.00</c:formatCode>
                <c:ptCount val="7"/>
                <c:pt idx="3">
                  <c:v>1.5</c:v>
                </c:pt>
                <c:pt idx="4">
                  <c:v>2</c:v>
                </c:pt>
                <c:pt idx="5">
                  <c:v>2.5</c:v>
                </c:pt>
                <c:pt idx="6">
                  <c:v>3</c:v>
                </c:pt>
              </c:numCache>
            </c:numRef>
          </c:xVal>
          <c:yVal>
            <c:numRef>
              <c:f>AdG!$P$80:$P$86</c:f>
              <c:numCache>
                <c:formatCode>0.00</c:formatCode>
                <c:ptCount val="7"/>
                <c:pt idx="3">
                  <c:v>-4.8250000000000002</c:v>
                </c:pt>
                <c:pt idx="4">
                  <c:v>-3.0999999999999996</c:v>
                </c:pt>
                <c:pt idx="5">
                  <c:v>-1.3749999999999996</c:v>
                </c:pt>
                <c:pt idx="6">
                  <c:v>0.3499999999999992</c:v>
                </c:pt>
              </c:numCache>
            </c:numRef>
          </c:yVal>
          <c:smooth val="1"/>
        </c:ser>
        <c:dLbls>
          <c:showLegendKey val="0"/>
          <c:showVal val="0"/>
          <c:showCatName val="0"/>
          <c:showSerName val="0"/>
          <c:showPercent val="0"/>
          <c:showBubbleSize val="0"/>
        </c:dLbls>
        <c:axId val="152005632"/>
        <c:axId val="152020096"/>
      </c:scatterChart>
      <c:valAx>
        <c:axId val="152005632"/>
        <c:scaling>
          <c:orientation val="minMax"/>
          <c:max val="3"/>
          <c:min val="0"/>
        </c:scaling>
        <c:delete val="0"/>
        <c:axPos val="b"/>
        <c:majorGridlines/>
        <c:title>
          <c:tx>
            <c:rich>
              <a:bodyPr/>
              <a:lstStyle/>
              <a:p>
                <a:pPr>
                  <a:defRPr/>
                </a:pPr>
                <a:r>
                  <a:rPr lang="fr-FR" baseline="0"/>
                  <a:t>D50 (m)</a:t>
                </a:r>
                <a:endParaRPr lang="fr-FR"/>
              </a:p>
            </c:rich>
          </c:tx>
          <c:overlay val="0"/>
        </c:title>
        <c:numFmt formatCode="0.0" sourceLinked="0"/>
        <c:majorTickMark val="out"/>
        <c:minorTickMark val="none"/>
        <c:tickLblPos val="nextTo"/>
        <c:crossAx val="152020096"/>
        <c:crossesAt val="-7"/>
        <c:crossBetween val="midCat"/>
        <c:majorUnit val="0.5"/>
      </c:valAx>
      <c:valAx>
        <c:axId val="152020096"/>
        <c:scaling>
          <c:orientation val="minMax"/>
        </c:scaling>
        <c:delete val="0"/>
        <c:axPos val="l"/>
        <c:majorGridlines/>
        <c:title>
          <c:tx>
            <c:rich>
              <a:bodyPr rot="-5400000" vert="horz"/>
              <a:lstStyle/>
              <a:p>
                <a:pPr>
                  <a:defRPr/>
                </a:pPr>
                <a:r>
                  <a:rPr lang="en-US" baseline="0"/>
                  <a:t>Rc (m)</a:t>
                </a:r>
                <a:endParaRPr lang="en-US"/>
              </a:p>
            </c:rich>
          </c:tx>
          <c:overlay val="0"/>
        </c:title>
        <c:numFmt formatCode="0" sourceLinked="0"/>
        <c:majorTickMark val="out"/>
        <c:minorTickMark val="none"/>
        <c:tickLblPos val="nextTo"/>
        <c:crossAx val="152005632"/>
        <c:crossesAt val="-7"/>
        <c:crossBetween val="midCat"/>
        <c:majorUnit val="1"/>
      </c:valAx>
    </c:plotArea>
    <c:legend>
      <c:legendPos val="b"/>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c:rich>
      </c:tx>
      <c:overlay val="0"/>
    </c:title>
    <c:autoTitleDeleted val="0"/>
    <c:plotArea>
      <c:layout/>
      <c:scatterChart>
        <c:scatterStyle val="smoothMarker"/>
        <c:varyColors val="0"/>
        <c:ser>
          <c:idx val="3"/>
          <c:order val="0"/>
          <c:tx>
            <c:v>D50 = 1.5 m</c:v>
          </c:tx>
          <c:spPr>
            <a:ln>
              <a:prstDash val="sysDash"/>
            </a:ln>
          </c:spPr>
          <c:marker>
            <c:symbol val="none"/>
          </c:marker>
          <c:xVal>
            <c:numRef>
              <c:f>AdG!$Y$103:$Y$117</c:f>
              <c:numCache>
                <c:formatCode>General</c:formatCode>
                <c:ptCount val="15"/>
                <c:pt idx="0">
                  <c:v>1</c:v>
                </c:pt>
                <c:pt idx="1">
                  <c:v>2</c:v>
                </c:pt>
                <c:pt idx="2">
                  <c:v>3</c:v>
                </c:pt>
                <c:pt idx="3">
                  <c:v>4</c:v>
                </c:pt>
                <c:pt idx="4">
                  <c:v>5</c:v>
                </c:pt>
                <c:pt idx="5">
                  <c:v>6</c:v>
                </c:pt>
                <c:pt idx="6">
                  <c:v>7</c:v>
                </c:pt>
                <c:pt idx="7">
                  <c:v>8</c:v>
                </c:pt>
                <c:pt idx="8">
                  <c:v>9</c:v>
                </c:pt>
                <c:pt idx="9">
                  <c:v>9.5</c:v>
                </c:pt>
                <c:pt idx="10">
                  <c:v>11</c:v>
                </c:pt>
                <c:pt idx="11">
                  <c:v>12</c:v>
                </c:pt>
                <c:pt idx="12">
                  <c:v>13</c:v>
                </c:pt>
                <c:pt idx="13">
                  <c:v>14</c:v>
                </c:pt>
                <c:pt idx="14">
                  <c:v>15</c:v>
                </c:pt>
              </c:numCache>
            </c:numRef>
          </c:xVal>
          <c:yVal>
            <c:numRef>
              <c:f>AdG!$Z$103:$Z$117</c:f>
              <c:numCache>
                <c:formatCode>General</c:formatCode>
                <c:ptCount val="15"/>
                <c:pt idx="2">
                  <c:v>2.1750000000000007</c:v>
                </c:pt>
                <c:pt idx="3">
                  <c:v>1.1750000000000007</c:v>
                </c:pt>
                <c:pt idx="4">
                  <c:v>0.17500000000000071</c:v>
                </c:pt>
                <c:pt idx="5">
                  <c:v>-0.82499999999999907</c:v>
                </c:pt>
                <c:pt idx="6">
                  <c:v>-1.8249999999999988</c:v>
                </c:pt>
                <c:pt idx="7">
                  <c:v>-2.8249999999999993</c:v>
                </c:pt>
                <c:pt idx="8">
                  <c:v>-3.8249999999999993</c:v>
                </c:pt>
                <c:pt idx="9">
                  <c:v>-4.3249999999999993</c:v>
                </c:pt>
                <c:pt idx="10">
                  <c:v>-5.8250000000000002</c:v>
                </c:pt>
                <c:pt idx="11">
                  <c:v>-6.8249999999999984</c:v>
                </c:pt>
                <c:pt idx="12">
                  <c:v>-7.8249999999999993</c:v>
                </c:pt>
                <c:pt idx="13">
                  <c:v>-8.8249999999999993</c:v>
                </c:pt>
                <c:pt idx="14">
                  <c:v>-9.8250000000000011</c:v>
                </c:pt>
              </c:numCache>
            </c:numRef>
          </c:yVal>
          <c:smooth val="1"/>
        </c:ser>
        <c:ser>
          <c:idx val="0"/>
          <c:order val="1"/>
          <c:tx>
            <c:v>D50 = 1  m</c:v>
          </c:tx>
          <c:spPr>
            <a:ln>
              <a:prstDash val="sysDash"/>
            </a:ln>
          </c:spPr>
          <c:marker>
            <c:symbol val="none"/>
          </c:marker>
          <c:xVal>
            <c:numRef>
              <c:f>AdG!$V$103:$V$117</c:f>
              <c:numCache>
                <c:formatCode>General</c:formatCode>
                <c:ptCount val="15"/>
                <c:pt idx="0">
                  <c:v>1</c:v>
                </c:pt>
                <c:pt idx="1">
                  <c:v>2</c:v>
                </c:pt>
                <c:pt idx="2">
                  <c:v>3</c:v>
                </c:pt>
                <c:pt idx="3">
                  <c:v>4</c:v>
                </c:pt>
                <c:pt idx="4">
                  <c:v>5</c:v>
                </c:pt>
                <c:pt idx="5">
                  <c:v>6.2</c:v>
                </c:pt>
                <c:pt idx="6">
                  <c:v>7</c:v>
                </c:pt>
                <c:pt idx="7">
                  <c:v>8</c:v>
                </c:pt>
                <c:pt idx="8">
                  <c:v>9</c:v>
                </c:pt>
                <c:pt idx="9">
                  <c:v>10</c:v>
                </c:pt>
                <c:pt idx="10">
                  <c:v>11</c:v>
                </c:pt>
                <c:pt idx="11">
                  <c:v>12</c:v>
                </c:pt>
                <c:pt idx="12">
                  <c:v>13</c:v>
                </c:pt>
                <c:pt idx="13">
                  <c:v>14</c:v>
                </c:pt>
                <c:pt idx="14">
                  <c:v>15</c:v>
                </c:pt>
              </c:numCache>
            </c:numRef>
          </c:xVal>
          <c:yVal>
            <c:numRef>
              <c:f>AdG!$W$103:$W$117</c:f>
              <c:numCache>
                <c:formatCode>General</c:formatCode>
                <c:ptCount val="15"/>
                <c:pt idx="1">
                  <c:v>1.4500000000000002</c:v>
                </c:pt>
                <c:pt idx="2">
                  <c:v>0.4500000000000004</c:v>
                </c:pt>
                <c:pt idx="3">
                  <c:v>-0.54999999999999982</c:v>
                </c:pt>
                <c:pt idx="4">
                  <c:v>-1.5499999999999998</c:v>
                </c:pt>
                <c:pt idx="5">
                  <c:v>-2.7499999999999996</c:v>
                </c:pt>
                <c:pt idx="6">
                  <c:v>-3.55</c:v>
                </c:pt>
                <c:pt idx="7">
                  <c:v>-4.55</c:v>
                </c:pt>
                <c:pt idx="8">
                  <c:v>-5.5500000000000007</c:v>
                </c:pt>
                <c:pt idx="9">
                  <c:v>-6.5500000000000007</c:v>
                </c:pt>
                <c:pt idx="10">
                  <c:v>-7.5499999999999989</c:v>
                </c:pt>
                <c:pt idx="11">
                  <c:v>-8.5499999999999989</c:v>
                </c:pt>
                <c:pt idx="12">
                  <c:v>-9.5500000000000007</c:v>
                </c:pt>
                <c:pt idx="13">
                  <c:v>-10.55</c:v>
                </c:pt>
                <c:pt idx="14">
                  <c:v>-11.55</c:v>
                </c:pt>
              </c:numCache>
            </c:numRef>
          </c:yVal>
          <c:smooth val="1"/>
        </c:ser>
        <c:ser>
          <c:idx val="1"/>
          <c:order val="2"/>
          <c:tx>
            <c:v>D50 = 0.5 m</c:v>
          </c:tx>
          <c:spPr>
            <a:ln>
              <a:prstDash val="sysDash"/>
            </a:ln>
          </c:spPr>
          <c:marker>
            <c:symbol val="none"/>
          </c:marker>
          <c:xVal>
            <c:numRef>
              <c:f>AdG!$R$103:$R$117</c:f>
              <c:numCache>
                <c:formatCode>General</c:formatCode>
                <c:ptCount val="15"/>
                <c:pt idx="0">
                  <c:v>1</c:v>
                </c:pt>
                <c:pt idx="1">
                  <c:v>2</c:v>
                </c:pt>
                <c:pt idx="2">
                  <c:v>3.1</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AdG!$S$103:$S$117</c:f>
              <c:numCache>
                <c:formatCode>General</c:formatCode>
                <c:ptCount val="15"/>
                <c:pt idx="0">
                  <c:v>0.72500000000000009</c:v>
                </c:pt>
                <c:pt idx="1">
                  <c:v>-0.27499999999999991</c:v>
                </c:pt>
                <c:pt idx="2">
                  <c:v>-1.3749999999999998</c:v>
                </c:pt>
                <c:pt idx="3">
                  <c:v>-2.2749999999999999</c:v>
                </c:pt>
                <c:pt idx="4">
                  <c:v>-3.2750000000000004</c:v>
                </c:pt>
                <c:pt idx="5">
                  <c:v>-4.2749999999999995</c:v>
                </c:pt>
                <c:pt idx="6">
                  <c:v>-5.2750000000000004</c:v>
                </c:pt>
                <c:pt idx="7">
                  <c:v>-6.2750000000000004</c:v>
                </c:pt>
                <c:pt idx="8">
                  <c:v>-7.2750000000000004</c:v>
                </c:pt>
                <c:pt idx="9">
                  <c:v>-8.2750000000000004</c:v>
                </c:pt>
                <c:pt idx="10">
                  <c:v>-9.2750000000000004</c:v>
                </c:pt>
                <c:pt idx="11">
                  <c:v>-10.274999999999999</c:v>
                </c:pt>
                <c:pt idx="12">
                  <c:v>-11.275</c:v>
                </c:pt>
                <c:pt idx="13">
                  <c:v>-12.275</c:v>
                </c:pt>
                <c:pt idx="14">
                  <c:v>-13.275</c:v>
                </c:pt>
              </c:numCache>
            </c:numRef>
          </c:yVal>
          <c:smooth val="1"/>
        </c:ser>
        <c:ser>
          <c:idx val="2"/>
          <c:order val="3"/>
          <c:tx>
            <c:v>D50 = 0.25 m</c:v>
          </c:tx>
          <c:spPr>
            <a:ln>
              <a:prstDash val="sysDash"/>
            </a:ln>
          </c:spPr>
          <c:marker>
            <c:symbol val="none"/>
          </c:marker>
          <c:xVal>
            <c:numRef>
              <c:f>AdG!$O$103:$O$117</c:f>
              <c:numCache>
                <c:formatCode>General</c:formatCode>
                <c:ptCount val="15"/>
                <c:pt idx="0">
                  <c:v>1</c:v>
                </c:pt>
                <c:pt idx="1">
                  <c:v>1.5</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AdG!$P$103:$P$117</c:f>
              <c:numCache>
                <c:formatCode>0.00</c:formatCode>
                <c:ptCount val="15"/>
                <c:pt idx="0">
                  <c:v>-0.13749999999999996</c:v>
                </c:pt>
                <c:pt idx="1">
                  <c:v>-0.63749999999999996</c:v>
                </c:pt>
                <c:pt idx="2">
                  <c:v>-2.1374999999999997</c:v>
                </c:pt>
                <c:pt idx="3">
                  <c:v>-3.1375000000000002</c:v>
                </c:pt>
                <c:pt idx="4">
                  <c:v>-4.1375000000000002</c:v>
                </c:pt>
                <c:pt idx="5">
                  <c:v>-5.1374999999999993</c:v>
                </c:pt>
                <c:pt idx="6">
                  <c:v>-6.1375000000000002</c:v>
                </c:pt>
                <c:pt idx="7">
                  <c:v>-7.1375000000000002</c:v>
                </c:pt>
                <c:pt idx="8">
                  <c:v>-8.1374999999999993</c:v>
                </c:pt>
                <c:pt idx="9">
                  <c:v>-9.1374999999999993</c:v>
                </c:pt>
                <c:pt idx="10">
                  <c:v>-10.137500000000001</c:v>
                </c:pt>
                <c:pt idx="11">
                  <c:v>-11.137499999999999</c:v>
                </c:pt>
                <c:pt idx="12">
                  <c:v>-12.137499999999999</c:v>
                </c:pt>
                <c:pt idx="13">
                  <c:v>-13.137499999999999</c:v>
                </c:pt>
                <c:pt idx="14">
                  <c:v>-14.137499999999999</c:v>
                </c:pt>
              </c:numCache>
            </c:numRef>
          </c:yVal>
          <c:smooth val="1"/>
        </c:ser>
        <c:dLbls>
          <c:showLegendKey val="0"/>
          <c:showVal val="0"/>
          <c:showCatName val="0"/>
          <c:showSerName val="0"/>
          <c:showPercent val="0"/>
          <c:showBubbleSize val="0"/>
        </c:dLbls>
        <c:axId val="152379776"/>
        <c:axId val="152381696"/>
      </c:scatterChart>
      <c:valAx>
        <c:axId val="152379776"/>
        <c:scaling>
          <c:orientation val="minMax"/>
          <c:max val="15"/>
          <c:min val="0"/>
        </c:scaling>
        <c:delete val="0"/>
        <c:axPos val="b"/>
        <c:majorGridlines/>
        <c:title>
          <c:tx>
            <c:rich>
              <a:bodyPr/>
              <a:lstStyle/>
              <a:p>
                <a:pPr>
                  <a:defRPr/>
                </a:pPr>
                <a:r>
                  <a:rPr lang="fr-FR" baseline="0"/>
                  <a:t>h (m)</a:t>
                </a:r>
                <a:endParaRPr lang="fr-FR"/>
              </a:p>
            </c:rich>
          </c:tx>
          <c:overlay val="0"/>
        </c:title>
        <c:numFmt formatCode="0" sourceLinked="0"/>
        <c:majorTickMark val="out"/>
        <c:minorTickMark val="none"/>
        <c:tickLblPos val="nextTo"/>
        <c:crossAx val="152381696"/>
        <c:crossesAt val="-7"/>
        <c:crossBetween val="midCat"/>
        <c:majorUnit val="3"/>
      </c:valAx>
      <c:valAx>
        <c:axId val="152381696"/>
        <c:scaling>
          <c:orientation val="minMax"/>
          <c:max val="0"/>
          <c:min val="-7"/>
        </c:scaling>
        <c:delete val="0"/>
        <c:axPos val="l"/>
        <c:majorGridlines/>
        <c:title>
          <c:tx>
            <c:rich>
              <a:bodyPr rot="-5400000" vert="horz"/>
              <a:lstStyle/>
              <a:p>
                <a:pPr>
                  <a:defRPr/>
                </a:pPr>
                <a:r>
                  <a:rPr lang="en-US" baseline="0"/>
                  <a:t>Rc (m)</a:t>
                </a:r>
                <a:endParaRPr lang="en-US"/>
              </a:p>
            </c:rich>
          </c:tx>
          <c:overlay val="0"/>
        </c:title>
        <c:numFmt formatCode="0.0" sourceLinked="0"/>
        <c:majorTickMark val="out"/>
        <c:minorTickMark val="none"/>
        <c:tickLblPos val="nextTo"/>
        <c:crossAx val="152379776"/>
        <c:crossesAt val="-7"/>
        <c:crossBetween val="midCat"/>
        <c:majorUnit val="1"/>
      </c:valAx>
    </c:plotArea>
    <c:legend>
      <c:legendPos val="b"/>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a:p>
            <a:pPr>
              <a:defRPr/>
            </a:pPr>
            <a:r>
              <a:rPr lang="en-US"/>
              <a:t>Burcharth's</a:t>
            </a:r>
            <a:r>
              <a:rPr lang="en-US" baseline="0"/>
              <a:t> rule</a:t>
            </a:r>
            <a:endParaRPr lang="en-US"/>
          </a:p>
        </c:rich>
      </c:tx>
      <c:overlay val="0"/>
    </c:title>
    <c:autoTitleDeleted val="0"/>
    <c:plotArea>
      <c:layout/>
      <c:scatterChart>
        <c:scatterStyle val="smoothMarker"/>
        <c:varyColors val="0"/>
        <c:ser>
          <c:idx val="3"/>
          <c:order val="0"/>
          <c:tx>
            <c:v>D50 = 1.5 m</c:v>
          </c:tx>
          <c:spPr>
            <a:ln>
              <a:prstDash val="sysDash"/>
            </a:ln>
          </c:spPr>
          <c:marker>
            <c:symbol val="none"/>
          </c:marker>
          <c:xVal>
            <c:numRef>
              <c:f>AdG!$Y$103:$Y$117</c:f>
              <c:numCache>
                <c:formatCode>General</c:formatCode>
                <c:ptCount val="15"/>
                <c:pt idx="0">
                  <c:v>1</c:v>
                </c:pt>
                <c:pt idx="1">
                  <c:v>2</c:v>
                </c:pt>
                <c:pt idx="2">
                  <c:v>3</c:v>
                </c:pt>
                <c:pt idx="3">
                  <c:v>4</c:v>
                </c:pt>
                <c:pt idx="4">
                  <c:v>5</c:v>
                </c:pt>
                <c:pt idx="5">
                  <c:v>6</c:v>
                </c:pt>
                <c:pt idx="6">
                  <c:v>7</c:v>
                </c:pt>
                <c:pt idx="7">
                  <c:v>8</c:v>
                </c:pt>
                <c:pt idx="8">
                  <c:v>9</c:v>
                </c:pt>
                <c:pt idx="9">
                  <c:v>9.5</c:v>
                </c:pt>
                <c:pt idx="10">
                  <c:v>11</c:v>
                </c:pt>
                <c:pt idx="11">
                  <c:v>12</c:v>
                </c:pt>
                <c:pt idx="12">
                  <c:v>13</c:v>
                </c:pt>
                <c:pt idx="13">
                  <c:v>14</c:v>
                </c:pt>
                <c:pt idx="14">
                  <c:v>15</c:v>
                </c:pt>
              </c:numCache>
            </c:numRef>
          </c:xVal>
          <c:yVal>
            <c:numRef>
              <c:f>AdG!$AA$103:$AA$117</c:f>
              <c:numCache>
                <c:formatCode>0.00</c:formatCode>
                <c:ptCount val="15"/>
                <c:pt idx="2">
                  <c:v>0.72500000000000031</c:v>
                </c:pt>
                <c:pt idx="3">
                  <c:v>0.29375000000000018</c:v>
                </c:pt>
                <c:pt idx="4">
                  <c:v>3.5000000000000142E-2</c:v>
                </c:pt>
                <c:pt idx="5">
                  <c:v>-0.13749999999999984</c:v>
                </c:pt>
                <c:pt idx="6">
                  <c:v>-0.26071428571428557</c:v>
                </c:pt>
                <c:pt idx="7">
                  <c:v>-0.35312499999999991</c:v>
                </c:pt>
                <c:pt idx="8">
                  <c:v>-0.42499999999999993</c:v>
                </c:pt>
                <c:pt idx="9">
                  <c:v>-0.45526315789473681</c:v>
                </c:pt>
                <c:pt idx="10">
                  <c:v>-0.52954545454545454</c:v>
                </c:pt>
                <c:pt idx="11">
                  <c:v>-0.56874999999999987</c:v>
                </c:pt>
                <c:pt idx="12">
                  <c:v>-0.60192307692307689</c:v>
                </c:pt>
                <c:pt idx="13">
                  <c:v>-0.63035714285714284</c:v>
                </c:pt>
                <c:pt idx="14">
                  <c:v>-0.65500000000000003</c:v>
                </c:pt>
              </c:numCache>
            </c:numRef>
          </c:yVal>
          <c:smooth val="1"/>
        </c:ser>
        <c:ser>
          <c:idx val="0"/>
          <c:order val="1"/>
          <c:tx>
            <c:v>D50 = 1  m</c:v>
          </c:tx>
          <c:spPr>
            <a:ln>
              <a:prstDash val="sysDash"/>
            </a:ln>
          </c:spPr>
          <c:marker>
            <c:symbol val="none"/>
          </c:marker>
          <c:xVal>
            <c:numRef>
              <c:f>AdG!$V$103:$V$117</c:f>
              <c:numCache>
                <c:formatCode>General</c:formatCode>
                <c:ptCount val="15"/>
                <c:pt idx="0">
                  <c:v>1</c:v>
                </c:pt>
                <c:pt idx="1">
                  <c:v>2</c:v>
                </c:pt>
                <c:pt idx="2">
                  <c:v>3</c:v>
                </c:pt>
                <c:pt idx="3">
                  <c:v>4</c:v>
                </c:pt>
                <c:pt idx="4">
                  <c:v>5</c:v>
                </c:pt>
                <c:pt idx="5">
                  <c:v>6.2</c:v>
                </c:pt>
                <c:pt idx="6">
                  <c:v>7</c:v>
                </c:pt>
                <c:pt idx="7">
                  <c:v>8</c:v>
                </c:pt>
                <c:pt idx="8">
                  <c:v>9</c:v>
                </c:pt>
                <c:pt idx="9">
                  <c:v>10</c:v>
                </c:pt>
                <c:pt idx="10">
                  <c:v>11</c:v>
                </c:pt>
                <c:pt idx="11">
                  <c:v>12</c:v>
                </c:pt>
                <c:pt idx="12">
                  <c:v>13</c:v>
                </c:pt>
                <c:pt idx="13">
                  <c:v>14</c:v>
                </c:pt>
                <c:pt idx="14">
                  <c:v>15</c:v>
                </c:pt>
              </c:numCache>
            </c:numRef>
          </c:xVal>
          <c:yVal>
            <c:numRef>
              <c:f>AdG!$X$103:$X$117</c:f>
              <c:numCache>
                <c:formatCode>0.00</c:formatCode>
                <c:ptCount val="15"/>
                <c:pt idx="1">
                  <c:v>0.72500000000000009</c:v>
                </c:pt>
                <c:pt idx="2">
                  <c:v>0.15000000000000013</c:v>
                </c:pt>
                <c:pt idx="3">
                  <c:v>-0.13749999999999996</c:v>
                </c:pt>
                <c:pt idx="4">
                  <c:v>-0.30999999999999994</c:v>
                </c:pt>
                <c:pt idx="5">
                  <c:v>-0.44354838709677413</c:v>
                </c:pt>
                <c:pt idx="6">
                  <c:v>-0.50714285714285712</c:v>
                </c:pt>
                <c:pt idx="7">
                  <c:v>-0.56874999999999998</c:v>
                </c:pt>
                <c:pt idx="8">
                  <c:v>-0.6166666666666667</c:v>
                </c:pt>
                <c:pt idx="9">
                  <c:v>-0.65500000000000003</c:v>
                </c:pt>
                <c:pt idx="10">
                  <c:v>-0.68636363636363629</c:v>
                </c:pt>
                <c:pt idx="11">
                  <c:v>-0.71249999999999991</c:v>
                </c:pt>
                <c:pt idx="12">
                  <c:v>-0.73461538461538467</c:v>
                </c:pt>
                <c:pt idx="13">
                  <c:v>-0.75357142857142856</c:v>
                </c:pt>
                <c:pt idx="14">
                  <c:v>-0.77</c:v>
                </c:pt>
              </c:numCache>
            </c:numRef>
          </c:yVal>
          <c:smooth val="1"/>
        </c:ser>
        <c:ser>
          <c:idx val="1"/>
          <c:order val="2"/>
          <c:tx>
            <c:v>D50 = 0.5 m</c:v>
          </c:tx>
          <c:spPr>
            <a:ln>
              <a:prstDash val="sysDash"/>
            </a:ln>
          </c:spPr>
          <c:marker>
            <c:symbol val="none"/>
          </c:marker>
          <c:xVal>
            <c:numRef>
              <c:f>AdG!$R$103:$R$117</c:f>
              <c:numCache>
                <c:formatCode>General</c:formatCode>
                <c:ptCount val="15"/>
                <c:pt idx="0">
                  <c:v>1</c:v>
                </c:pt>
                <c:pt idx="1">
                  <c:v>2</c:v>
                </c:pt>
                <c:pt idx="2">
                  <c:v>3.1</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AdG!$T$103:$T$117</c:f>
              <c:numCache>
                <c:formatCode>0.00</c:formatCode>
                <c:ptCount val="15"/>
                <c:pt idx="0">
                  <c:v>0.72500000000000009</c:v>
                </c:pt>
                <c:pt idx="1">
                  <c:v>-0.13749999999999996</c:v>
                </c:pt>
                <c:pt idx="2">
                  <c:v>-0.44354838709677413</c:v>
                </c:pt>
                <c:pt idx="3">
                  <c:v>-0.56874999999999998</c:v>
                </c:pt>
                <c:pt idx="4">
                  <c:v>-0.65500000000000003</c:v>
                </c:pt>
                <c:pt idx="5">
                  <c:v>-0.71249999999999991</c:v>
                </c:pt>
                <c:pt idx="6">
                  <c:v>-0.75357142857142856</c:v>
                </c:pt>
                <c:pt idx="7">
                  <c:v>-0.78437500000000004</c:v>
                </c:pt>
                <c:pt idx="8">
                  <c:v>-0.80833333333333335</c:v>
                </c:pt>
                <c:pt idx="9">
                  <c:v>-0.82750000000000001</c:v>
                </c:pt>
                <c:pt idx="10">
                  <c:v>-0.84318181818181814</c:v>
                </c:pt>
                <c:pt idx="11">
                  <c:v>-0.85624999999999996</c:v>
                </c:pt>
                <c:pt idx="12">
                  <c:v>-0.86730769230769234</c:v>
                </c:pt>
                <c:pt idx="13">
                  <c:v>-0.87678571428571428</c:v>
                </c:pt>
                <c:pt idx="14">
                  <c:v>-0.88500000000000001</c:v>
                </c:pt>
              </c:numCache>
            </c:numRef>
          </c:yVal>
          <c:smooth val="1"/>
        </c:ser>
        <c:ser>
          <c:idx val="2"/>
          <c:order val="3"/>
          <c:tx>
            <c:v>D50 = 0.25 m</c:v>
          </c:tx>
          <c:spPr>
            <a:ln>
              <a:prstDash val="sysDash"/>
            </a:ln>
          </c:spPr>
          <c:marker>
            <c:symbol val="none"/>
          </c:marker>
          <c:xVal>
            <c:numRef>
              <c:f>AdG!$O$103:$O$117</c:f>
              <c:numCache>
                <c:formatCode>General</c:formatCode>
                <c:ptCount val="15"/>
                <c:pt idx="0">
                  <c:v>1</c:v>
                </c:pt>
                <c:pt idx="1">
                  <c:v>1.5</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AdG!$Q$103:$Q$117</c:f>
              <c:numCache>
                <c:formatCode>0.00</c:formatCode>
                <c:ptCount val="15"/>
                <c:pt idx="0">
                  <c:v>-0.13749999999999996</c:v>
                </c:pt>
                <c:pt idx="1">
                  <c:v>-0.42499999999999993</c:v>
                </c:pt>
                <c:pt idx="2">
                  <c:v>-0.71249999999999991</c:v>
                </c:pt>
                <c:pt idx="3">
                  <c:v>-0.78437500000000004</c:v>
                </c:pt>
                <c:pt idx="4">
                  <c:v>-0.82750000000000001</c:v>
                </c:pt>
                <c:pt idx="5">
                  <c:v>-0.85624999999999996</c:v>
                </c:pt>
                <c:pt idx="6">
                  <c:v>-0.87678571428571428</c:v>
                </c:pt>
                <c:pt idx="7">
                  <c:v>-0.89218750000000002</c:v>
                </c:pt>
                <c:pt idx="8">
                  <c:v>-0.90416666666666667</c:v>
                </c:pt>
                <c:pt idx="9">
                  <c:v>-0.91374999999999995</c:v>
                </c:pt>
                <c:pt idx="10">
                  <c:v>-0.92159090909090913</c:v>
                </c:pt>
                <c:pt idx="11">
                  <c:v>-0.92812499999999998</c:v>
                </c:pt>
                <c:pt idx="12">
                  <c:v>-0.93365384615384617</c:v>
                </c:pt>
                <c:pt idx="13">
                  <c:v>-0.93839285714285714</c:v>
                </c:pt>
                <c:pt idx="14">
                  <c:v>-0.9425</c:v>
                </c:pt>
              </c:numCache>
            </c:numRef>
          </c:yVal>
          <c:smooth val="1"/>
        </c:ser>
        <c:dLbls>
          <c:showLegendKey val="0"/>
          <c:showVal val="0"/>
          <c:showCatName val="0"/>
          <c:showSerName val="0"/>
          <c:showPercent val="0"/>
          <c:showBubbleSize val="0"/>
        </c:dLbls>
        <c:axId val="152044672"/>
        <c:axId val="152046592"/>
      </c:scatterChart>
      <c:valAx>
        <c:axId val="152044672"/>
        <c:scaling>
          <c:orientation val="minMax"/>
          <c:max val="15"/>
          <c:min val="0"/>
        </c:scaling>
        <c:delete val="0"/>
        <c:axPos val="b"/>
        <c:majorGridlines/>
        <c:title>
          <c:tx>
            <c:rich>
              <a:bodyPr/>
              <a:lstStyle/>
              <a:p>
                <a:pPr>
                  <a:defRPr/>
                </a:pPr>
                <a:r>
                  <a:rPr lang="fr-FR"/>
                  <a:t>h (m)</a:t>
                </a:r>
              </a:p>
            </c:rich>
          </c:tx>
          <c:overlay val="0"/>
        </c:title>
        <c:numFmt formatCode="0" sourceLinked="0"/>
        <c:majorTickMark val="out"/>
        <c:minorTickMark val="none"/>
        <c:tickLblPos val="nextTo"/>
        <c:crossAx val="152046592"/>
        <c:crossesAt val="-7"/>
        <c:crossBetween val="midCat"/>
        <c:majorUnit val="3"/>
      </c:valAx>
      <c:valAx>
        <c:axId val="152046592"/>
        <c:scaling>
          <c:orientation val="minMax"/>
          <c:max val="0"/>
          <c:min val="-1"/>
        </c:scaling>
        <c:delete val="0"/>
        <c:axPos val="l"/>
        <c:majorGridlines/>
        <c:title>
          <c:tx>
            <c:rich>
              <a:bodyPr rot="-5400000" vert="horz"/>
              <a:lstStyle/>
              <a:p>
                <a:pPr>
                  <a:defRPr/>
                </a:pPr>
                <a:r>
                  <a:rPr lang="en-US"/>
                  <a:t>Rc/h</a:t>
                </a:r>
              </a:p>
            </c:rich>
          </c:tx>
          <c:overlay val="0"/>
        </c:title>
        <c:numFmt formatCode="0.0" sourceLinked="0"/>
        <c:majorTickMark val="out"/>
        <c:minorTickMark val="none"/>
        <c:tickLblPos val="nextTo"/>
        <c:crossAx val="152044672"/>
        <c:crossesAt val="-7"/>
        <c:crossBetween val="midCat"/>
        <c:majorUnit val="0.2"/>
      </c:valAx>
    </c:plotArea>
    <c:legend>
      <c:legendPos val="b"/>
      <c:overlay val="0"/>
    </c:legend>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a:p>
            <a:pPr>
              <a:defRPr/>
            </a:pPr>
            <a:r>
              <a:rPr lang="en-US"/>
              <a:t>AdG &amp; Burcharth formulae</a:t>
            </a:r>
          </a:p>
        </c:rich>
      </c:tx>
      <c:overlay val="0"/>
    </c:title>
    <c:autoTitleDeleted val="0"/>
    <c:plotArea>
      <c:layout/>
      <c:scatterChart>
        <c:scatterStyle val="smoothMarker"/>
        <c:varyColors val="0"/>
        <c:ser>
          <c:idx val="3"/>
          <c:order val="0"/>
          <c:tx>
            <c:v>D50 = 1.5 m (A)</c:v>
          </c:tx>
          <c:marker>
            <c:symbol val="none"/>
          </c:marker>
          <c:xVal>
            <c:numRef>
              <c:f>AdG!$K$103:$K$117</c:f>
              <c:numCache>
                <c:formatCode>General</c:formatCode>
                <c:ptCount val="15"/>
                <c:pt idx="0">
                  <c:v>1</c:v>
                </c:pt>
                <c:pt idx="1">
                  <c:v>2</c:v>
                </c:pt>
                <c:pt idx="2">
                  <c:v>3</c:v>
                </c:pt>
                <c:pt idx="3">
                  <c:v>4</c:v>
                </c:pt>
                <c:pt idx="4">
                  <c:v>5</c:v>
                </c:pt>
                <c:pt idx="5">
                  <c:v>6</c:v>
                </c:pt>
                <c:pt idx="6">
                  <c:v>7</c:v>
                </c:pt>
                <c:pt idx="7">
                  <c:v>8</c:v>
                </c:pt>
                <c:pt idx="8">
                  <c:v>9</c:v>
                </c:pt>
                <c:pt idx="9">
                  <c:v>9.5</c:v>
                </c:pt>
                <c:pt idx="10">
                  <c:v>11</c:v>
                </c:pt>
                <c:pt idx="11">
                  <c:v>12</c:v>
                </c:pt>
                <c:pt idx="12">
                  <c:v>13</c:v>
                </c:pt>
                <c:pt idx="13">
                  <c:v>14</c:v>
                </c:pt>
                <c:pt idx="14">
                  <c:v>15</c:v>
                </c:pt>
              </c:numCache>
            </c:numRef>
          </c:xVal>
          <c:yVal>
            <c:numRef>
              <c:f>AdG!$M$103:$M$117</c:f>
              <c:numCache>
                <c:formatCode>0.00</c:formatCode>
                <c:ptCount val="15"/>
                <c:pt idx="9">
                  <c:v>-0.42105263157894735</c:v>
                </c:pt>
                <c:pt idx="10">
                  <c:v>-0.43181818181818182</c:v>
                </c:pt>
                <c:pt idx="11">
                  <c:v>-0.4375</c:v>
                </c:pt>
                <c:pt idx="12">
                  <c:v>-0.44230769230769229</c:v>
                </c:pt>
                <c:pt idx="13">
                  <c:v>-0.44642857142857145</c:v>
                </c:pt>
                <c:pt idx="14">
                  <c:v>-0.45</c:v>
                </c:pt>
              </c:numCache>
            </c:numRef>
          </c:yVal>
          <c:smooth val="1"/>
        </c:ser>
        <c:ser>
          <c:idx val="0"/>
          <c:order val="1"/>
          <c:tx>
            <c:v>D50 = 1  m (A)</c:v>
          </c:tx>
          <c:marker>
            <c:symbol val="none"/>
          </c:marker>
          <c:xVal>
            <c:numRef>
              <c:f>AdG!$H$103:$H$117</c:f>
              <c:numCache>
                <c:formatCode>General</c:formatCode>
                <c:ptCount val="15"/>
                <c:pt idx="0">
                  <c:v>1</c:v>
                </c:pt>
                <c:pt idx="1">
                  <c:v>2</c:v>
                </c:pt>
                <c:pt idx="2">
                  <c:v>3</c:v>
                </c:pt>
                <c:pt idx="3">
                  <c:v>4</c:v>
                </c:pt>
                <c:pt idx="4">
                  <c:v>5</c:v>
                </c:pt>
                <c:pt idx="5">
                  <c:v>6.2</c:v>
                </c:pt>
                <c:pt idx="6">
                  <c:v>7</c:v>
                </c:pt>
                <c:pt idx="7">
                  <c:v>8</c:v>
                </c:pt>
                <c:pt idx="8">
                  <c:v>9</c:v>
                </c:pt>
                <c:pt idx="9">
                  <c:v>10</c:v>
                </c:pt>
                <c:pt idx="10">
                  <c:v>11</c:v>
                </c:pt>
                <c:pt idx="11">
                  <c:v>12</c:v>
                </c:pt>
                <c:pt idx="12">
                  <c:v>13</c:v>
                </c:pt>
                <c:pt idx="13">
                  <c:v>14</c:v>
                </c:pt>
                <c:pt idx="14">
                  <c:v>15</c:v>
                </c:pt>
              </c:numCache>
            </c:numRef>
          </c:xVal>
          <c:yVal>
            <c:numRef>
              <c:f>AdG!$J$103:$J$117</c:f>
              <c:numCache>
                <c:formatCode>0.00</c:formatCode>
                <c:ptCount val="15"/>
                <c:pt idx="5">
                  <c:v>-0.41935483870967744</c:v>
                </c:pt>
                <c:pt idx="6">
                  <c:v>-0.4285714285714286</c:v>
                </c:pt>
                <c:pt idx="7">
                  <c:v>-0.4375</c:v>
                </c:pt>
                <c:pt idx="8">
                  <c:v>-0.44444444444444442</c:v>
                </c:pt>
                <c:pt idx="9">
                  <c:v>-0.45</c:v>
                </c:pt>
                <c:pt idx="10">
                  <c:v>-0.45454545454545453</c:v>
                </c:pt>
                <c:pt idx="11">
                  <c:v>-0.45833333333333331</c:v>
                </c:pt>
                <c:pt idx="12">
                  <c:v>-0.46153846153846156</c:v>
                </c:pt>
                <c:pt idx="13">
                  <c:v>-0.4642857142857143</c:v>
                </c:pt>
                <c:pt idx="14">
                  <c:v>-0.46666666666666667</c:v>
                </c:pt>
              </c:numCache>
            </c:numRef>
          </c:yVal>
          <c:smooth val="1"/>
        </c:ser>
        <c:ser>
          <c:idx val="1"/>
          <c:order val="2"/>
          <c:tx>
            <c:v>D50 = 0.5 m (A)</c:v>
          </c:tx>
          <c:marker>
            <c:symbol val="none"/>
          </c:marker>
          <c:xVal>
            <c:numRef>
              <c:f>AdG!$D$103:$D$117</c:f>
              <c:numCache>
                <c:formatCode>General</c:formatCode>
                <c:ptCount val="15"/>
                <c:pt idx="0">
                  <c:v>1</c:v>
                </c:pt>
                <c:pt idx="1">
                  <c:v>2</c:v>
                </c:pt>
                <c:pt idx="2">
                  <c:v>3.1</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AdG!$F$103:$F$117</c:f>
              <c:numCache>
                <c:formatCode>0.00</c:formatCode>
                <c:ptCount val="15"/>
                <c:pt idx="2">
                  <c:v>-0.41935483870967744</c:v>
                </c:pt>
                <c:pt idx="3">
                  <c:v>-0.4375</c:v>
                </c:pt>
                <c:pt idx="4">
                  <c:v>-0.45</c:v>
                </c:pt>
                <c:pt idx="5">
                  <c:v>-0.45833333333333331</c:v>
                </c:pt>
                <c:pt idx="6">
                  <c:v>-0.4642857142857143</c:v>
                </c:pt>
                <c:pt idx="7">
                  <c:v>-0.46875</c:v>
                </c:pt>
                <c:pt idx="8">
                  <c:v>-0.47222222222222221</c:v>
                </c:pt>
              </c:numCache>
            </c:numRef>
          </c:yVal>
          <c:smooth val="1"/>
        </c:ser>
        <c:ser>
          <c:idx val="2"/>
          <c:order val="3"/>
          <c:tx>
            <c:v>D50 = 0.25 m (A)</c:v>
          </c:tx>
          <c:marker>
            <c:symbol val="none"/>
          </c:marker>
          <c:xVal>
            <c:numRef>
              <c:f>AdG!$A$103:$A$117</c:f>
              <c:numCache>
                <c:formatCode>General</c:formatCode>
                <c:ptCount val="15"/>
                <c:pt idx="0">
                  <c:v>1.5</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AdG!$C$103:$C$117</c:f>
              <c:numCache>
                <c:formatCode>0.00</c:formatCode>
                <c:ptCount val="15"/>
                <c:pt idx="0">
                  <c:v>-0.41666666666666669</c:v>
                </c:pt>
                <c:pt idx="1">
                  <c:v>-0.4375</c:v>
                </c:pt>
                <c:pt idx="2">
                  <c:v>-0.45833333333333331</c:v>
                </c:pt>
                <c:pt idx="3">
                  <c:v>-0.46875</c:v>
                </c:pt>
                <c:pt idx="4">
                  <c:v>-0.47499999999999998</c:v>
                </c:pt>
              </c:numCache>
            </c:numRef>
          </c:yVal>
          <c:smooth val="1"/>
        </c:ser>
        <c:ser>
          <c:idx val="4"/>
          <c:order val="4"/>
          <c:tx>
            <c:v>D50 = 1.5 m (B)</c:v>
          </c:tx>
          <c:spPr>
            <a:ln>
              <a:solidFill>
                <a:schemeClr val="accent4">
                  <a:shade val="95000"/>
                  <a:satMod val="105000"/>
                </a:schemeClr>
              </a:solidFill>
              <a:prstDash val="sysDash"/>
            </a:ln>
          </c:spPr>
          <c:marker>
            <c:symbol val="none"/>
          </c:marker>
          <c:xVal>
            <c:numRef>
              <c:f>AdG!$Y$103:$Y$117</c:f>
              <c:numCache>
                <c:formatCode>General</c:formatCode>
                <c:ptCount val="15"/>
                <c:pt idx="0">
                  <c:v>1</c:v>
                </c:pt>
                <c:pt idx="1">
                  <c:v>2</c:v>
                </c:pt>
                <c:pt idx="2">
                  <c:v>3</c:v>
                </c:pt>
                <c:pt idx="3">
                  <c:v>4</c:v>
                </c:pt>
                <c:pt idx="4">
                  <c:v>5</c:v>
                </c:pt>
                <c:pt idx="5">
                  <c:v>6</c:v>
                </c:pt>
                <c:pt idx="6">
                  <c:v>7</c:v>
                </c:pt>
                <c:pt idx="7">
                  <c:v>8</c:v>
                </c:pt>
                <c:pt idx="8">
                  <c:v>9</c:v>
                </c:pt>
                <c:pt idx="9">
                  <c:v>9.5</c:v>
                </c:pt>
                <c:pt idx="10">
                  <c:v>11</c:v>
                </c:pt>
                <c:pt idx="11">
                  <c:v>12</c:v>
                </c:pt>
                <c:pt idx="12">
                  <c:v>13</c:v>
                </c:pt>
                <c:pt idx="13">
                  <c:v>14</c:v>
                </c:pt>
                <c:pt idx="14">
                  <c:v>15</c:v>
                </c:pt>
              </c:numCache>
            </c:numRef>
          </c:xVal>
          <c:yVal>
            <c:numRef>
              <c:f>AdG!$AA$103:$AA$117</c:f>
              <c:numCache>
                <c:formatCode>0.00</c:formatCode>
                <c:ptCount val="15"/>
                <c:pt idx="2">
                  <c:v>0.72500000000000031</c:v>
                </c:pt>
                <c:pt idx="3">
                  <c:v>0.29375000000000018</c:v>
                </c:pt>
                <c:pt idx="4">
                  <c:v>3.5000000000000142E-2</c:v>
                </c:pt>
                <c:pt idx="5">
                  <c:v>-0.13749999999999984</c:v>
                </c:pt>
                <c:pt idx="6">
                  <c:v>-0.26071428571428557</c:v>
                </c:pt>
                <c:pt idx="7">
                  <c:v>-0.35312499999999991</c:v>
                </c:pt>
                <c:pt idx="8">
                  <c:v>-0.42499999999999993</c:v>
                </c:pt>
                <c:pt idx="9">
                  <c:v>-0.45526315789473681</c:v>
                </c:pt>
                <c:pt idx="10">
                  <c:v>-0.52954545454545454</c:v>
                </c:pt>
                <c:pt idx="11">
                  <c:v>-0.56874999999999987</c:v>
                </c:pt>
                <c:pt idx="12">
                  <c:v>-0.60192307692307689</c:v>
                </c:pt>
                <c:pt idx="13">
                  <c:v>-0.63035714285714284</c:v>
                </c:pt>
                <c:pt idx="14">
                  <c:v>-0.65500000000000003</c:v>
                </c:pt>
              </c:numCache>
            </c:numRef>
          </c:yVal>
          <c:smooth val="1"/>
        </c:ser>
        <c:ser>
          <c:idx val="5"/>
          <c:order val="5"/>
          <c:tx>
            <c:v>D50 = 1 m (B)</c:v>
          </c:tx>
          <c:spPr>
            <a:ln>
              <a:solidFill>
                <a:schemeClr val="accent1"/>
              </a:solidFill>
              <a:prstDash val="sysDash"/>
            </a:ln>
          </c:spPr>
          <c:marker>
            <c:symbol val="none"/>
          </c:marker>
          <c:xVal>
            <c:numRef>
              <c:f>AdG!$V$103:$V$117</c:f>
              <c:numCache>
                <c:formatCode>General</c:formatCode>
                <c:ptCount val="15"/>
                <c:pt idx="0">
                  <c:v>1</c:v>
                </c:pt>
                <c:pt idx="1">
                  <c:v>2</c:v>
                </c:pt>
                <c:pt idx="2">
                  <c:v>3</c:v>
                </c:pt>
                <c:pt idx="3">
                  <c:v>4</c:v>
                </c:pt>
                <c:pt idx="4">
                  <c:v>5</c:v>
                </c:pt>
                <c:pt idx="5">
                  <c:v>6.2</c:v>
                </c:pt>
                <c:pt idx="6">
                  <c:v>7</c:v>
                </c:pt>
                <c:pt idx="7">
                  <c:v>8</c:v>
                </c:pt>
                <c:pt idx="8">
                  <c:v>9</c:v>
                </c:pt>
                <c:pt idx="9">
                  <c:v>10</c:v>
                </c:pt>
                <c:pt idx="10">
                  <c:v>11</c:v>
                </c:pt>
                <c:pt idx="11">
                  <c:v>12</c:v>
                </c:pt>
                <c:pt idx="12">
                  <c:v>13</c:v>
                </c:pt>
                <c:pt idx="13">
                  <c:v>14</c:v>
                </c:pt>
                <c:pt idx="14">
                  <c:v>15</c:v>
                </c:pt>
              </c:numCache>
            </c:numRef>
          </c:xVal>
          <c:yVal>
            <c:numRef>
              <c:f>AdG!$X$103:$X$117</c:f>
              <c:numCache>
                <c:formatCode>0.00</c:formatCode>
                <c:ptCount val="15"/>
                <c:pt idx="1">
                  <c:v>0.72500000000000009</c:v>
                </c:pt>
                <c:pt idx="2">
                  <c:v>0.15000000000000013</c:v>
                </c:pt>
                <c:pt idx="3">
                  <c:v>-0.13749999999999996</c:v>
                </c:pt>
                <c:pt idx="4">
                  <c:v>-0.30999999999999994</c:v>
                </c:pt>
                <c:pt idx="5">
                  <c:v>-0.44354838709677413</c:v>
                </c:pt>
                <c:pt idx="6">
                  <c:v>-0.50714285714285712</c:v>
                </c:pt>
                <c:pt idx="7">
                  <c:v>-0.56874999999999998</c:v>
                </c:pt>
                <c:pt idx="8">
                  <c:v>-0.6166666666666667</c:v>
                </c:pt>
                <c:pt idx="9">
                  <c:v>-0.65500000000000003</c:v>
                </c:pt>
                <c:pt idx="10">
                  <c:v>-0.68636363636363629</c:v>
                </c:pt>
                <c:pt idx="11">
                  <c:v>-0.71249999999999991</c:v>
                </c:pt>
                <c:pt idx="12">
                  <c:v>-0.73461538461538467</c:v>
                </c:pt>
                <c:pt idx="13">
                  <c:v>-0.75357142857142856</c:v>
                </c:pt>
                <c:pt idx="14">
                  <c:v>-0.77</c:v>
                </c:pt>
              </c:numCache>
            </c:numRef>
          </c:yVal>
          <c:smooth val="1"/>
        </c:ser>
        <c:ser>
          <c:idx val="6"/>
          <c:order val="6"/>
          <c:tx>
            <c:v>D50 = 0.5 m (B)</c:v>
          </c:tx>
          <c:spPr>
            <a:ln>
              <a:solidFill>
                <a:schemeClr val="accent2"/>
              </a:solidFill>
              <a:prstDash val="sysDash"/>
            </a:ln>
          </c:spPr>
          <c:marker>
            <c:symbol val="none"/>
          </c:marker>
          <c:xVal>
            <c:numRef>
              <c:f>AdG!$R$103:$R$117</c:f>
              <c:numCache>
                <c:formatCode>General</c:formatCode>
                <c:ptCount val="15"/>
                <c:pt idx="0">
                  <c:v>1</c:v>
                </c:pt>
                <c:pt idx="1">
                  <c:v>2</c:v>
                </c:pt>
                <c:pt idx="2">
                  <c:v>3.1</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AdG!$T$103:$T$117</c:f>
              <c:numCache>
                <c:formatCode>0.00</c:formatCode>
                <c:ptCount val="15"/>
                <c:pt idx="0">
                  <c:v>0.72500000000000009</c:v>
                </c:pt>
                <c:pt idx="1">
                  <c:v>-0.13749999999999996</c:v>
                </c:pt>
                <c:pt idx="2">
                  <c:v>-0.44354838709677413</c:v>
                </c:pt>
                <c:pt idx="3">
                  <c:v>-0.56874999999999998</c:v>
                </c:pt>
                <c:pt idx="4">
                  <c:v>-0.65500000000000003</c:v>
                </c:pt>
                <c:pt idx="5">
                  <c:v>-0.71249999999999991</c:v>
                </c:pt>
                <c:pt idx="6">
                  <c:v>-0.75357142857142856</c:v>
                </c:pt>
                <c:pt idx="7">
                  <c:v>-0.78437500000000004</c:v>
                </c:pt>
                <c:pt idx="8">
                  <c:v>-0.80833333333333335</c:v>
                </c:pt>
                <c:pt idx="9">
                  <c:v>-0.82750000000000001</c:v>
                </c:pt>
                <c:pt idx="10">
                  <c:v>-0.84318181818181814</c:v>
                </c:pt>
                <c:pt idx="11">
                  <c:v>-0.85624999999999996</c:v>
                </c:pt>
                <c:pt idx="12">
                  <c:v>-0.86730769230769234</c:v>
                </c:pt>
                <c:pt idx="13">
                  <c:v>-0.87678571428571428</c:v>
                </c:pt>
                <c:pt idx="14">
                  <c:v>-0.88500000000000001</c:v>
                </c:pt>
              </c:numCache>
            </c:numRef>
          </c:yVal>
          <c:smooth val="1"/>
        </c:ser>
        <c:ser>
          <c:idx val="7"/>
          <c:order val="7"/>
          <c:tx>
            <c:v>D50 = 0.25 m (B)</c:v>
          </c:tx>
          <c:spPr>
            <a:ln>
              <a:solidFill>
                <a:schemeClr val="accent3"/>
              </a:solidFill>
              <a:prstDash val="sysDash"/>
            </a:ln>
          </c:spPr>
          <c:marker>
            <c:symbol val="none"/>
          </c:marker>
          <c:xVal>
            <c:numRef>
              <c:f>AdG!$O$103:$O$117</c:f>
              <c:numCache>
                <c:formatCode>General</c:formatCode>
                <c:ptCount val="15"/>
                <c:pt idx="0">
                  <c:v>1</c:v>
                </c:pt>
                <c:pt idx="1">
                  <c:v>1.5</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AdG!$Q$103:$Q$117</c:f>
              <c:numCache>
                <c:formatCode>0.00</c:formatCode>
                <c:ptCount val="15"/>
                <c:pt idx="0">
                  <c:v>-0.13749999999999996</c:v>
                </c:pt>
                <c:pt idx="1">
                  <c:v>-0.42499999999999993</c:v>
                </c:pt>
                <c:pt idx="2">
                  <c:v>-0.71249999999999991</c:v>
                </c:pt>
                <c:pt idx="3">
                  <c:v>-0.78437500000000004</c:v>
                </c:pt>
                <c:pt idx="4">
                  <c:v>-0.82750000000000001</c:v>
                </c:pt>
                <c:pt idx="5">
                  <c:v>-0.85624999999999996</c:v>
                </c:pt>
                <c:pt idx="6">
                  <c:v>-0.87678571428571428</c:v>
                </c:pt>
                <c:pt idx="7">
                  <c:v>-0.89218750000000002</c:v>
                </c:pt>
                <c:pt idx="8">
                  <c:v>-0.90416666666666667</c:v>
                </c:pt>
                <c:pt idx="9">
                  <c:v>-0.91374999999999995</c:v>
                </c:pt>
                <c:pt idx="10">
                  <c:v>-0.92159090909090913</c:v>
                </c:pt>
                <c:pt idx="11">
                  <c:v>-0.92812499999999998</c:v>
                </c:pt>
                <c:pt idx="12">
                  <c:v>-0.93365384615384617</c:v>
                </c:pt>
                <c:pt idx="13">
                  <c:v>-0.93839285714285714</c:v>
                </c:pt>
                <c:pt idx="14">
                  <c:v>-0.9425</c:v>
                </c:pt>
              </c:numCache>
            </c:numRef>
          </c:yVal>
          <c:smooth val="1"/>
        </c:ser>
        <c:ser>
          <c:idx val="9"/>
          <c:order val="8"/>
          <c:tx>
            <c:v>Rc/h = -0.5</c:v>
          </c:tx>
          <c:spPr>
            <a:ln w="12700">
              <a:solidFill>
                <a:schemeClr val="tx1"/>
              </a:solidFill>
            </a:ln>
          </c:spPr>
          <c:marker>
            <c:symbol val="none"/>
          </c:marker>
          <c:xVal>
            <c:numRef>
              <c:f>AdG!$M$180:$M$181</c:f>
              <c:numCache>
                <c:formatCode>General</c:formatCode>
                <c:ptCount val="2"/>
                <c:pt idx="0">
                  <c:v>0</c:v>
                </c:pt>
                <c:pt idx="1">
                  <c:v>15</c:v>
                </c:pt>
              </c:numCache>
            </c:numRef>
          </c:xVal>
          <c:yVal>
            <c:numRef>
              <c:f>AdG!$N$180:$N$181</c:f>
              <c:numCache>
                <c:formatCode>General</c:formatCode>
                <c:ptCount val="2"/>
                <c:pt idx="0">
                  <c:v>-0.5</c:v>
                </c:pt>
                <c:pt idx="1">
                  <c:v>-0.5</c:v>
                </c:pt>
              </c:numCache>
            </c:numRef>
          </c:yVal>
          <c:smooth val="1"/>
        </c:ser>
        <c:dLbls>
          <c:showLegendKey val="0"/>
          <c:showVal val="0"/>
          <c:showCatName val="0"/>
          <c:showSerName val="0"/>
          <c:showPercent val="0"/>
          <c:showBubbleSize val="0"/>
        </c:dLbls>
        <c:axId val="152103168"/>
        <c:axId val="152195456"/>
      </c:scatterChart>
      <c:valAx>
        <c:axId val="152103168"/>
        <c:scaling>
          <c:orientation val="minMax"/>
          <c:max val="15"/>
          <c:min val="0"/>
        </c:scaling>
        <c:delete val="0"/>
        <c:axPos val="b"/>
        <c:majorGridlines/>
        <c:title>
          <c:tx>
            <c:rich>
              <a:bodyPr/>
              <a:lstStyle/>
              <a:p>
                <a:pPr>
                  <a:defRPr/>
                </a:pPr>
                <a:r>
                  <a:rPr lang="fr-FR"/>
                  <a:t>h (m)</a:t>
                </a:r>
              </a:p>
            </c:rich>
          </c:tx>
          <c:overlay val="0"/>
        </c:title>
        <c:numFmt formatCode="0" sourceLinked="0"/>
        <c:majorTickMark val="out"/>
        <c:minorTickMark val="none"/>
        <c:tickLblPos val="nextTo"/>
        <c:crossAx val="152195456"/>
        <c:crossesAt val="-7"/>
        <c:crossBetween val="midCat"/>
        <c:majorUnit val="3"/>
      </c:valAx>
      <c:valAx>
        <c:axId val="152195456"/>
        <c:scaling>
          <c:orientation val="minMax"/>
          <c:max val="0"/>
          <c:min val="-1"/>
        </c:scaling>
        <c:delete val="0"/>
        <c:axPos val="l"/>
        <c:majorGridlines/>
        <c:title>
          <c:tx>
            <c:rich>
              <a:bodyPr rot="-5400000" vert="horz"/>
              <a:lstStyle/>
              <a:p>
                <a:pPr>
                  <a:defRPr/>
                </a:pPr>
                <a:r>
                  <a:rPr lang="en-US"/>
                  <a:t>Rc/h</a:t>
                </a:r>
              </a:p>
            </c:rich>
          </c:tx>
          <c:overlay val="0"/>
        </c:title>
        <c:numFmt formatCode="0.0" sourceLinked="0"/>
        <c:majorTickMark val="out"/>
        <c:minorTickMark val="none"/>
        <c:tickLblPos val="nextTo"/>
        <c:crossAx val="152103168"/>
        <c:crossesAt val="-7"/>
        <c:crossBetween val="midCat"/>
        <c:majorUnit val="0.2"/>
      </c:valAx>
    </c:plotArea>
    <c:legend>
      <c:legendPos val="b"/>
      <c:legendEntry>
        <c:idx val="8"/>
        <c:delete val="1"/>
      </c:legendEntry>
      <c:overlay val="0"/>
    </c:legend>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a:p>
            <a:pPr>
              <a:defRPr/>
            </a:pPr>
            <a:r>
              <a:rPr lang="en-US"/>
              <a:t>Burcharth's</a:t>
            </a:r>
            <a:r>
              <a:rPr lang="en-US" baseline="0"/>
              <a:t> equation</a:t>
            </a:r>
            <a:endParaRPr lang="en-US"/>
          </a:p>
        </c:rich>
      </c:tx>
      <c:overlay val="0"/>
    </c:title>
    <c:autoTitleDeleted val="0"/>
    <c:plotArea>
      <c:layout/>
      <c:scatterChart>
        <c:scatterStyle val="smoothMarker"/>
        <c:varyColors val="0"/>
        <c:ser>
          <c:idx val="3"/>
          <c:order val="0"/>
          <c:tx>
            <c:v>D50 = 1.5 m</c:v>
          </c:tx>
          <c:spPr>
            <a:ln>
              <a:prstDash val="sysDash"/>
            </a:ln>
          </c:spPr>
          <c:marker>
            <c:symbol val="none"/>
          </c:marker>
          <c:xVal>
            <c:numRef>
              <c:f>AdG!$AC$96:$AC$110</c:f>
              <c:numCache>
                <c:formatCode>General</c:formatCode>
                <c:ptCount val="15"/>
                <c:pt idx="0">
                  <c:v>1</c:v>
                </c:pt>
                <c:pt idx="1">
                  <c:v>1.5</c:v>
                </c:pt>
                <c:pt idx="2">
                  <c:v>3</c:v>
                </c:pt>
                <c:pt idx="3">
                  <c:v>4</c:v>
                </c:pt>
                <c:pt idx="4">
                  <c:v>5.5</c:v>
                </c:pt>
                <c:pt idx="5">
                  <c:v>6</c:v>
                </c:pt>
                <c:pt idx="6">
                  <c:v>7</c:v>
                </c:pt>
                <c:pt idx="7">
                  <c:v>8</c:v>
                </c:pt>
                <c:pt idx="8">
                  <c:v>9</c:v>
                </c:pt>
                <c:pt idx="9">
                  <c:v>10</c:v>
                </c:pt>
                <c:pt idx="10">
                  <c:v>11</c:v>
                </c:pt>
                <c:pt idx="11">
                  <c:v>12</c:v>
                </c:pt>
                <c:pt idx="12">
                  <c:v>13</c:v>
                </c:pt>
                <c:pt idx="13">
                  <c:v>14</c:v>
                </c:pt>
                <c:pt idx="14">
                  <c:v>15</c:v>
                </c:pt>
              </c:numCache>
            </c:numRef>
          </c:xVal>
          <c:yVal>
            <c:numRef>
              <c:f>AdG!$AM$96:$AM$110</c:f>
              <c:numCache>
                <c:formatCode>0.00</c:formatCode>
                <c:ptCount val="15"/>
                <c:pt idx="0">
                  <c:v>0</c:v>
                </c:pt>
                <c:pt idx="1">
                  <c:v>0</c:v>
                </c:pt>
                <c:pt idx="2">
                  <c:v>0</c:v>
                </c:pt>
                <c:pt idx="3">
                  <c:v>0</c:v>
                </c:pt>
                <c:pt idx="4">
                  <c:v>-1.7493832909305028E-2</c:v>
                </c:pt>
                <c:pt idx="5">
                  <c:v>-0.13356004874386415</c:v>
                </c:pt>
                <c:pt idx="6">
                  <c:v>-0.27277354317873698</c:v>
                </c:pt>
                <c:pt idx="7">
                  <c:v>-0.35066048546886014</c:v>
                </c:pt>
                <c:pt idx="8">
                  <c:v>-0.39755052773001703</c:v>
                </c:pt>
                <c:pt idx="9">
                  <c:v>-0.4267522313580826</c:v>
                </c:pt>
                <c:pt idx="10">
                  <c:v>-0.44510368374407056</c:v>
                </c:pt>
                <c:pt idx="11">
                  <c:v>-0.4564651613453381</c:v>
                </c:pt>
                <c:pt idx="12">
                  <c:v>-0.46316166725608016</c:v>
                </c:pt>
                <c:pt idx="13">
                  <c:v>-0.46666244884584679</c:v>
                </c:pt>
                <c:pt idx="14">
                  <c:v>-0.46793127484349634</c:v>
                </c:pt>
              </c:numCache>
            </c:numRef>
          </c:yVal>
          <c:smooth val="1"/>
        </c:ser>
        <c:ser>
          <c:idx val="0"/>
          <c:order val="1"/>
          <c:tx>
            <c:v>D50 = 1  m</c:v>
          </c:tx>
          <c:spPr>
            <a:ln>
              <a:prstDash val="sysDash"/>
            </a:ln>
          </c:spPr>
          <c:marker>
            <c:symbol val="none"/>
          </c:marker>
          <c:xVal>
            <c:numRef>
              <c:f>AdG!$AC$78:$AC$92</c:f>
              <c:numCache>
                <c:formatCode>General</c:formatCode>
                <c:ptCount val="15"/>
                <c:pt idx="0">
                  <c:v>1</c:v>
                </c:pt>
                <c:pt idx="1">
                  <c:v>1.5</c:v>
                </c:pt>
                <c:pt idx="2">
                  <c:v>3.7</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AdG!$AM$78:$AM$92</c:f>
              <c:numCache>
                <c:formatCode>0.00</c:formatCode>
                <c:ptCount val="15"/>
                <c:pt idx="0">
                  <c:v>0</c:v>
                </c:pt>
                <c:pt idx="1">
                  <c:v>0</c:v>
                </c:pt>
                <c:pt idx="2">
                  <c:v>-3.1365356650922049E-2</c:v>
                </c:pt>
                <c:pt idx="3">
                  <c:v>-0.13356004874386415</c:v>
                </c:pt>
                <c:pt idx="4">
                  <c:v>-0.31686505125333342</c:v>
                </c:pt>
                <c:pt idx="5">
                  <c:v>-0.39755052773001703</c:v>
                </c:pt>
                <c:pt idx="6">
                  <c:v>-0.43699548754896095</c:v>
                </c:pt>
                <c:pt idx="7">
                  <c:v>-0.45646516134533804</c:v>
                </c:pt>
                <c:pt idx="8">
                  <c:v>-0.46524222508259222</c:v>
                </c:pt>
                <c:pt idx="9">
                  <c:v>-0.46793127484349623</c:v>
                </c:pt>
                <c:pt idx="10">
                  <c:v>-0.46701759860028741</c:v>
                </c:pt>
              </c:numCache>
            </c:numRef>
          </c:yVal>
          <c:smooth val="1"/>
        </c:ser>
        <c:ser>
          <c:idx val="1"/>
          <c:order val="2"/>
          <c:tx>
            <c:v>D50 = 0.5 m</c:v>
          </c:tx>
          <c:spPr>
            <a:ln>
              <a:prstDash val="sysDash"/>
            </a:ln>
          </c:spPr>
          <c:marker>
            <c:symbol val="none"/>
          </c:marker>
          <c:xVal>
            <c:numRef>
              <c:f>AdG!$AC$60:$AC$74</c:f>
              <c:numCache>
                <c:formatCode>General</c:formatCode>
                <c:ptCount val="15"/>
                <c:pt idx="0">
                  <c:v>1.9</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numCache>
            </c:numRef>
          </c:xVal>
          <c:yVal>
            <c:numRef>
              <c:f>AdG!$AM$60:$AM$74</c:f>
              <c:numCache>
                <c:formatCode>0.00</c:formatCode>
                <c:ptCount val="15"/>
                <c:pt idx="0">
                  <c:v>-6.9572470539578685E-2</c:v>
                </c:pt>
                <c:pt idx="1">
                  <c:v>-0.13356004874386415</c:v>
                </c:pt>
                <c:pt idx="2">
                  <c:v>-0.39755052773001703</c:v>
                </c:pt>
                <c:pt idx="3">
                  <c:v>-0.45646516134533804</c:v>
                </c:pt>
                <c:pt idx="4">
                  <c:v>-0.46793127484349623</c:v>
                </c:pt>
                <c:pt idx="5">
                  <c:v>-0.46392600730908246</c:v>
                </c:pt>
              </c:numCache>
            </c:numRef>
          </c:yVal>
          <c:smooth val="1"/>
        </c:ser>
        <c:ser>
          <c:idx val="2"/>
          <c:order val="3"/>
          <c:tx>
            <c:v>D50 = 0.25 m</c:v>
          </c:tx>
          <c:spPr>
            <a:ln>
              <a:prstDash val="sysDash"/>
            </a:ln>
          </c:spPr>
          <c:marker>
            <c:symbol val="none"/>
          </c:marker>
          <c:xVal>
            <c:numRef>
              <c:f>AdG!$AC$41:$AC$56</c:f>
              <c:numCache>
                <c:formatCode>General</c:formatCode>
                <c:ptCount val="16"/>
                <c:pt idx="0">
                  <c:v>0.95</c:v>
                </c:pt>
                <c:pt idx="1">
                  <c:v>1</c:v>
                </c:pt>
                <c:pt idx="2">
                  <c:v>1.5</c:v>
                </c:pt>
                <c:pt idx="3">
                  <c:v>2</c:v>
                </c:pt>
                <c:pt idx="4">
                  <c:v>3</c:v>
                </c:pt>
                <c:pt idx="5">
                  <c:v>5</c:v>
                </c:pt>
                <c:pt idx="6">
                  <c:v>6</c:v>
                </c:pt>
                <c:pt idx="7">
                  <c:v>7</c:v>
                </c:pt>
                <c:pt idx="8">
                  <c:v>8</c:v>
                </c:pt>
                <c:pt idx="9">
                  <c:v>9</c:v>
                </c:pt>
                <c:pt idx="10">
                  <c:v>10</c:v>
                </c:pt>
                <c:pt idx="11">
                  <c:v>11</c:v>
                </c:pt>
                <c:pt idx="12">
                  <c:v>12</c:v>
                </c:pt>
                <c:pt idx="13">
                  <c:v>13</c:v>
                </c:pt>
                <c:pt idx="14">
                  <c:v>14</c:v>
                </c:pt>
                <c:pt idx="15">
                  <c:v>15</c:v>
                </c:pt>
              </c:numCache>
            </c:numRef>
          </c:xVal>
          <c:yVal>
            <c:numRef>
              <c:f>AdG!$AM$41:$AM$56</c:f>
              <c:numCache>
                <c:formatCode>0.00</c:formatCode>
                <c:ptCount val="16"/>
                <c:pt idx="0">
                  <c:v>-6.9572470539578685E-2</c:v>
                </c:pt>
                <c:pt idx="1">
                  <c:v>-0.13356004874386415</c:v>
                </c:pt>
                <c:pt idx="2">
                  <c:v>-0.39755052773001703</c:v>
                </c:pt>
                <c:pt idx="3">
                  <c:v>-0.45646516134533804</c:v>
                </c:pt>
                <c:pt idx="4">
                  <c:v>-0.46392600730908246</c:v>
                </c:pt>
              </c:numCache>
            </c:numRef>
          </c:yVal>
          <c:smooth val="1"/>
        </c:ser>
        <c:dLbls>
          <c:showLegendKey val="0"/>
          <c:showVal val="0"/>
          <c:showCatName val="0"/>
          <c:showSerName val="0"/>
          <c:showPercent val="0"/>
          <c:showBubbleSize val="0"/>
        </c:dLbls>
        <c:axId val="152231296"/>
        <c:axId val="152233472"/>
      </c:scatterChart>
      <c:valAx>
        <c:axId val="152231296"/>
        <c:scaling>
          <c:orientation val="minMax"/>
          <c:max val="15"/>
          <c:min val="0"/>
        </c:scaling>
        <c:delete val="0"/>
        <c:axPos val="b"/>
        <c:majorGridlines/>
        <c:title>
          <c:tx>
            <c:rich>
              <a:bodyPr/>
              <a:lstStyle/>
              <a:p>
                <a:pPr>
                  <a:defRPr/>
                </a:pPr>
                <a:r>
                  <a:rPr lang="fr-FR"/>
                  <a:t>h (m)</a:t>
                </a:r>
              </a:p>
            </c:rich>
          </c:tx>
          <c:overlay val="0"/>
        </c:title>
        <c:numFmt formatCode="0" sourceLinked="0"/>
        <c:majorTickMark val="out"/>
        <c:minorTickMark val="none"/>
        <c:tickLblPos val="nextTo"/>
        <c:crossAx val="152233472"/>
        <c:crossesAt val="-7"/>
        <c:crossBetween val="midCat"/>
        <c:majorUnit val="3"/>
      </c:valAx>
      <c:valAx>
        <c:axId val="152233472"/>
        <c:scaling>
          <c:orientation val="minMax"/>
          <c:max val="0"/>
          <c:min val="-1"/>
        </c:scaling>
        <c:delete val="0"/>
        <c:axPos val="l"/>
        <c:majorGridlines/>
        <c:title>
          <c:tx>
            <c:rich>
              <a:bodyPr rot="-5400000" vert="horz"/>
              <a:lstStyle/>
              <a:p>
                <a:pPr>
                  <a:defRPr/>
                </a:pPr>
                <a:r>
                  <a:rPr lang="en-US"/>
                  <a:t>Rc/h</a:t>
                </a:r>
              </a:p>
            </c:rich>
          </c:tx>
          <c:overlay val="0"/>
        </c:title>
        <c:numFmt formatCode="0.0" sourceLinked="0"/>
        <c:majorTickMark val="out"/>
        <c:minorTickMark val="none"/>
        <c:tickLblPos val="nextTo"/>
        <c:crossAx val="152231296"/>
        <c:crossesAt val="-7"/>
        <c:crossBetween val="midCat"/>
        <c:majorUnit val="0.2"/>
      </c:valAx>
    </c:plotArea>
    <c:legend>
      <c:legendPos val="b"/>
      <c:overlay val="0"/>
    </c:legend>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a:pPr>
            <a:r>
              <a:rPr lang="fr-FR"/>
              <a:t>STABILITY of SUBMERGED BREAKWATERS</a:t>
            </a:r>
          </a:p>
          <a:p>
            <a:pPr algn="r">
              <a:defRPr/>
            </a:pPr>
            <a:r>
              <a:rPr lang="fr-FR"/>
              <a:t>with breaking waves</a:t>
            </a:r>
          </a:p>
        </c:rich>
      </c:tx>
      <c:layout>
        <c:manualLayout>
          <c:xMode val="edge"/>
          <c:yMode val="edge"/>
          <c:x val="0.20517300265851959"/>
          <c:y val="1.3888757056052924E-2"/>
        </c:manualLayout>
      </c:layout>
      <c:overlay val="0"/>
    </c:title>
    <c:autoTitleDeleted val="0"/>
    <c:plotArea>
      <c:layout>
        <c:manualLayout>
          <c:layoutTarget val="inner"/>
          <c:xMode val="edge"/>
          <c:yMode val="edge"/>
          <c:x val="0.10487154313085723"/>
          <c:y val="0.17407802106928416"/>
          <c:w val="0.84687714778439482"/>
          <c:h val="0.57379498795527273"/>
        </c:manualLayout>
      </c:layout>
      <c:scatterChart>
        <c:scatterStyle val="smoothMarker"/>
        <c:varyColors val="0"/>
        <c:ser>
          <c:idx val="2"/>
          <c:order val="0"/>
          <c:tx>
            <c:v>Rosslyn, 1977</c:v>
          </c:tx>
          <c:spPr>
            <a:ln>
              <a:noFill/>
            </a:ln>
          </c:spPr>
          <c:marker>
            <c:symbol val="circle"/>
            <c:size val="5"/>
            <c:spPr>
              <a:solidFill>
                <a:srgbClr val="C00000"/>
              </a:solidFill>
            </c:spPr>
          </c:marker>
          <c:xVal>
            <c:numRef>
              <c:f>Foster!$C$22</c:f>
              <c:numCache>
                <c:formatCode>0\.0</c:formatCode>
                <c:ptCount val="1"/>
                <c:pt idx="0">
                  <c:v>10.126582278481012</c:v>
                </c:pt>
              </c:numCache>
            </c:numRef>
          </c:xVal>
          <c:yVal>
            <c:numRef>
              <c:f>Foster!$C$21</c:f>
              <c:numCache>
                <c:formatCode>General</c:formatCode>
                <c:ptCount val="1"/>
                <c:pt idx="0">
                  <c:v>-5.2</c:v>
                </c:pt>
              </c:numCache>
            </c:numRef>
          </c:yVal>
          <c:smooth val="1"/>
        </c:ser>
        <c:ser>
          <c:idx val="3"/>
          <c:order val="1"/>
          <c:tx>
            <c:v>Ahrens, 1987</c:v>
          </c:tx>
          <c:spPr>
            <a:ln>
              <a:noFill/>
            </a:ln>
          </c:spPr>
          <c:marker>
            <c:symbol val="triangle"/>
            <c:size val="7"/>
            <c:spPr>
              <a:solidFill>
                <a:schemeClr val="accent6">
                  <a:lumMod val="75000"/>
                </a:schemeClr>
              </a:solidFill>
            </c:spPr>
          </c:marker>
          <c:xVal>
            <c:numRef>
              <c:f>Ahrens!$B$38:$E$38</c:f>
              <c:numCache>
                <c:formatCode>0.00</c:formatCode>
                <c:ptCount val="4"/>
                <c:pt idx="0">
                  <c:v>8.2335719212643959</c:v>
                </c:pt>
                <c:pt idx="1">
                  <c:v>8.2335719212643959</c:v>
                </c:pt>
                <c:pt idx="2">
                  <c:v>8.2335719212643959</c:v>
                </c:pt>
                <c:pt idx="3">
                  <c:v>6.0180351464823145</c:v>
                </c:pt>
              </c:numCache>
            </c:numRef>
          </c:xVal>
          <c:yVal>
            <c:numRef>
              <c:f>Ahrens!$B$37:$E$37</c:f>
              <c:numCache>
                <c:formatCode>0.00</c:formatCode>
                <c:ptCount val="4"/>
                <c:pt idx="0">
                  <c:v>-4.3053676919168371</c:v>
                </c:pt>
                <c:pt idx="1">
                  <c:v>-3.7524339359724053</c:v>
                </c:pt>
                <c:pt idx="2">
                  <c:v>-2.8022468019708091</c:v>
                </c:pt>
                <c:pt idx="3">
                  <c:v>-0.21770843945914414</c:v>
                </c:pt>
              </c:numCache>
            </c:numRef>
          </c:yVal>
          <c:smooth val="1"/>
        </c:ser>
        <c:ser>
          <c:idx val="7"/>
          <c:order val="2"/>
          <c:tx>
            <c:v>Thapsus</c:v>
          </c:tx>
          <c:spPr>
            <a:ln>
              <a:noFill/>
            </a:ln>
          </c:spPr>
          <c:marker>
            <c:symbol val="square"/>
            <c:size val="5"/>
            <c:spPr>
              <a:solidFill>
                <a:srgbClr val="C00000"/>
              </a:solidFill>
            </c:spPr>
          </c:marker>
          <c:xVal>
            <c:numRef>
              <c:f>Thapsus!$C$9</c:f>
              <c:numCache>
                <c:formatCode>0\.0</c:formatCode>
                <c:ptCount val="1"/>
                <c:pt idx="0">
                  <c:v>4.3037974683544302</c:v>
                </c:pt>
              </c:numCache>
            </c:numRef>
          </c:xVal>
          <c:yVal>
            <c:numRef>
              <c:f>Thapsus!$C$8</c:f>
              <c:numCache>
                <c:formatCode>General</c:formatCode>
                <c:ptCount val="1"/>
                <c:pt idx="0">
                  <c:v>-3.6</c:v>
                </c:pt>
              </c:numCache>
            </c:numRef>
          </c:yVal>
          <c:smooth val="1"/>
        </c:ser>
        <c:ser>
          <c:idx val="0"/>
          <c:order val="3"/>
          <c:tx>
            <c:v>Vidal, 1995</c:v>
          </c:tx>
          <c:marker>
            <c:symbol val="x"/>
            <c:size val="2"/>
          </c:marker>
          <c:trendline>
            <c:trendlineType val="power"/>
            <c:dispRSqr val="0"/>
            <c:dispEq val="0"/>
          </c:trendline>
          <c:xVal>
            <c:numRef>
              <c:f>Vidal!$B$109:$B$131</c:f>
              <c:numCache>
                <c:formatCode>0.00</c:formatCode>
                <c:ptCount val="23"/>
                <c:pt idx="0">
                  <c:v>4.2412569238025162</c:v>
                </c:pt>
                <c:pt idx="1">
                  <c:v>4.2322335293852005</c:v>
                </c:pt>
                <c:pt idx="2">
                  <c:v>4.2370721611741962</c:v>
                </c:pt>
                <c:pt idx="3">
                  <c:v>4.2557728191695015</c:v>
                </c:pt>
                <c:pt idx="4">
                  <c:v>4.2883355033711181</c:v>
                </c:pt>
                <c:pt idx="5">
                  <c:v>4.3347602137790453</c:v>
                </c:pt>
                <c:pt idx="6">
                  <c:v>4.395046950393283</c:v>
                </c:pt>
                <c:pt idx="7">
                  <c:v>4.4691957132138311</c:v>
                </c:pt>
                <c:pt idx="8">
                  <c:v>4.5572065022406907</c:v>
                </c:pt>
                <c:pt idx="9">
                  <c:v>4.6590793174738607</c:v>
                </c:pt>
                <c:pt idx="10">
                  <c:v>4.7748141589133404</c:v>
                </c:pt>
                <c:pt idx="11">
                  <c:v>4.9044110265591314</c:v>
                </c:pt>
                <c:pt idx="12">
                  <c:v>5.0478699204112338</c:v>
                </c:pt>
                <c:pt idx="13">
                  <c:v>5.2051908404696459</c:v>
                </c:pt>
                <c:pt idx="14">
                  <c:v>5.3763737867343693</c:v>
                </c:pt>
                <c:pt idx="15">
                  <c:v>5.5614187592054014</c:v>
                </c:pt>
                <c:pt idx="16">
                  <c:v>5.7603257578827458</c:v>
                </c:pt>
                <c:pt idx="17">
                  <c:v>5.9730947827664007</c:v>
                </c:pt>
                <c:pt idx="18">
                  <c:v>6.1997258338563661</c:v>
                </c:pt>
                <c:pt idx="19">
                  <c:v>6.4402189111526296</c:v>
                </c:pt>
                <c:pt idx="20">
                  <c:v>6.6945740146552168</c:v>
                </c:pt>
                <c:pt idx="21">
                  <c:v>6.9627911443641128</c:v>
                </c:pt>
                <c:pt idx="22">
                  <c:v>7.2448703002793211</c:v>
                </c:pt>
              </c:numCache>
            </c:numRef>
          </c:xVal>
          <c:yVal>
            <c:numRef>
              <c:f>Vidal!$A$109:$A$131</c:f>
              <c:numCache>
                <c:formatCode>General</c:formatCode>
                <c:ptCount val="23"/>
                <c:pt idx="0">
                  <c:v>2.4</c:v>
                </c:pt>
                <c:pt idx="1">
                  <c:v>2.2000000000000002</c:v>
                </c:pt>
                <c:pt idx="2">
                  <c:v>2</c:v>
                </c:pt>
                <c:pt idx="3">
                  <c:v>1.8</c:v>
                </c:pt>
                <c:pt idx="4">
                  <c:v>1.6</c:v>
                </c:pt>
                <c:pt idx="5">
                  <c:v>1.4</c:v>
                </c:pt>
                <c:pt idx="6">
                  <c:v>1.2</c:v>
                </c:pt>
                <c:pt idx="7">
                  <c:v>1</c:v>
                </c:pt>
                <c:pt idx="8">
                  <c:v>0.8</c:v>
                </c:pt>
                <c:pt idx="9">
                  <c:v>0.6</c:v>
                </c:pt>
                <c:pt idx="10">
                  <c:v>0.4</c:v>
                </c:pt>
                <c:pt idx="11">
                  <c:v>0.2</c:v>
                </c:pt>
                <c:pt idx="12">
                  <c:v>0</c:v>
                </c:pt>
                <c:pt idx="13">
                  <c:v>-0.2</c:v>
                </c:pt>
                <c:pt idx="14">
                  <c:v>-0.4</c:v>
                </c:pt>
                <c:pt idx="15">
                  <c:v>-0.6</c:v>
                </c:pt>
                <c:pt idx="16">
                  <c:v>-0.8</c:v>
                </c:pt>
                <c:pt idx="17">
                  <c:v>-1</c:v>
                </c:pt>
                <c:pt idx="18">
                  <c:v>-1.2</c:v>
                </c:pt>
                <c:pt idx="19">
                  <c:v>-1.3999999999999899</c:v>
                </c:pt>
                <c:pt idx="20">
                  <c:v>-1.5999999999999901</c:v>
                </c:pt>
                <c:pt idx="21">
                  <c:v>-1.7999999999999901</c:v>
                </c:pt>
                <c:pt idx="22">
                  <c:v>-1.99999999999999</c:v>
                </c:pt>
              </c:numCache>
            </c:numRef>
          </c:yVal>
          <c:smooth val="1"/>
        </c:ser>
        <c:ser>
          <c:idx val="5"/>
          <c:order val="4"/>
          <c:tx>
            <c:v>Burcharth, 2003</c:v>
          </c:tx>
          <c:spPr>
            <a:ln w="28575">
              <a:solidFill>
                <a:srgbClr val="C00000"/>
              </a:solidFill>
            </a:ln>
          </c:spPr>
          <c:marker>
            <c:symbol val="x"/>
            <c:size val="2"/>
            <c:spPr>
              <a:ln>
                <a:solidFill>
                  <a:srgbClr val="C00000"/>
                </a:solidFill>
              </a:ln>
            </c:spPr>
          </c:marker>
          <c:xVal>
            <c:numRef>
              <c:f>Burcharth!$C$47:$C$62</c:f>
              <c:numCache>
                <c:formatCode>0.00</c:formatCode>
                <c:ptCount val="16"/>
                <c:pt idx="0">
                  <c:v>2.2666666666666671</c:v>
                </c:pt>
                <c:pt idx="1">
                  <c:v>2.3473333333333337</c:v>
                </c:pt>
                <c:pt idx="2">
                  <c:v>2.4359999999999999</c:v>
                </c:pt>
                <c:pt idx="3">
                  <c:v>2.5326666666666671</c:v>
                </c:pt>
                <c:pt idx="4">
                  <c:v>2.6373333333333338</c:v>
                </c:pt>
                <c:pt idx="5">
                  <c:v>2.7500000000000004</c:v>
                </c:pt>
                <c:pt idx="6">
                  <c:v>2.8706666666666671</c:v>
                </c:pt>
                <c:pt idx="7">
                  <c:v>2.9993333333333334</c:v>
                </c:pt>
                <c:pt idx="8">
                  <c:v>3.1360000000000006</c:v>
                </c:pt>
                <c:pt idx="9">
                  <c:v>3.2806666666666668</c:v>
                </c:pt>
                <c:pt idx="10">
                  <c:v>3.4333333333333336</c:v>
                </c:pt>
                <c:pt idx="11">
                  <c:v>3.5940000000000012</c:v>
                </c:pt>
                <c:pt idx="12">
                  <c:v>3.762666666666667</c:v>
                </c:pt>
                <c:pt idx="13">
                  <c:v>3.9393333333333334</c:v>
                </c:pt>
                <c:pt idx="14">
                  <c:v>4.1240000000000006</c:v>
                </c:pt>
                <c:pt idx="15">
                  <c:v>4.3166666666666664</c:v>
                </c:pt>
              </c:numCache>
            </c:numRef>
          </c:xVal>
          <c:yVal>
            <c:numRef>
              <c:f>Burcharth!$A$47:$A$62</c:f>
              <c:numCache>
                <c:formatCode>General</c:formatCode>
                <c:ptCount val="1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numCache>
            </c:numRef>
          </c:yVal>
          <c:smooth val="1"/>
        </c:ser>
        <c:ser>
          <c:idx val="4"/>
          <c:order val="5"/>
          <c:tx>
            <c:v>Burcharth extrapol</c:v>
          </c:tx>
          <c:spPr>
            <a:ln w="28575">
              <a:solidFill>
                <a:srgbClr val="C00000"/>
              </a:solidFill>
              <a:prstDash val="dash"/>
            </a:ln>
          </c:spPr>
          <c:marker>
            <c:symbol val="x"/>
            <c:size val="2"/>
            <c:spPr>
              <a:ln>
                <a:solidFill>
                  <a:srgbClr val="C00000"/>
                </a:solidFill>
              </a:ln>
            </c:spPr>
          </c:marker>
          <c:xVal>
            <c:numRef>
              <c:f>Burcharth!$G$41:$G$55</c:f>
              <c:numCache>
                <c:formatCode>0.00</c:formatCode>
                <c:ptCount val="15"/>
                <c:pt idx="0">
                  <c:v>4.3166666666666664</c:v>
                </c:pt>
                <c:pt idx="1">
                  <c:v>4.8333333333333339</c:v>
                </c:pt>
                <c:pt idx="2">
                  <c:v>5.4</c:v>
                </c:pt>
                <c:pt idx="3">
                  <c:v>6.0166666666666675</c:v>
                </c:pt>
                <c:pt idx="4">
                  <c:v>6.6833333333333345</c:v>
                </c:pt>
                <c:pt idx="5">
                  <c:v>7.4000000000000012</c:v>
                </c:pt>
                <c:pt idx="6">
                  <c:v>8.1666666666666679</c:v>
                </c:pt>
                <c:pt idx="7">
                  <c:v>8.9833333333333343</c:v>
                </c:pt>
                <c:pt idx="8">
                  <c:v>9.8500000000000014</c:v>
                </c:pt>
                <c:pt idx="9">
                  <c:v>10.766666666666667</c:v>
                </c:pt>
                <c:pt idx="10">
                  <c:v>11.733333333333334</c:v>
                </c:pt>
                <c:pt idx="11">
                  <c:v>12.750000000000002</c:v>
                </c:pt>
                <c:pt idx="12">
                  <c:v>13.816666666666668</c:v>
                </c:pt>
                <c:pt idx="13">
                  <c:v>14.933333333333332</c:v>
                </c:pt>
                <c:pt idx="14">
                  <c:v>16.100000000000001</c:v>
                </c:pt>
              </c:numCache>
            </c:numRef>
          </c:xVal>
          <c:yVal>
            <c:numRef>
              <c:f>Burcharth!$E$41:$E$55</c:f>
              <c:numCache>
                <c:formatCode>General</c:formatCode>
                <c:ptCount val="15"/>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numCache>
            </c:numRef>
          </c:yVal>
          <c:smooth val="1"/>
        </c:ser>
        <c:ser>
          <c:idx val="8"/>
          <c:order val="6"/>
          <c:tx>
            <c:v>Near-bed</c:v>
          </c:tx>
          <c:spPr>
            <a:ln w="28575">
              <a:noFill/>
            </a:ln>
          </c:spPr>
          <c:marker>
            <c:symbol val="star"/>
            <c:size val="4"/>
            <c:spPr>
              <a:ln w="15875">
                <a:solidFill>
                  <a:srgbClr val="FF0000"/>
                </a:solidFill>
              </a:ln>
            </c:spPr>
          </c:marker>
          <c:xVal>
            <c:numRef>
              <c:f>'Near-bed'!$A$46:$A$55</c:f>
              <c:numCache>
                <c:formatCode>General</c:formatCode>
                <c:ptCount val="10"/>
                <c:pt idx="0">
                  <c:v>2</c:v>
                </c:pt>
                <c:pt idx="1">
                  <c:v>5</c:v>
                </c:pt>
                <c:pt idx="2">
                  <c:v>10</c:v>
                </c:pt>
                <c:pt idx="3">
                  <c:v>15</c:v>
                </c:pt>
                <c:pt idx="4">
                  <c:v>20</c:v>
                </c:pt>
                <c:pt idx="5">
                  <c:v>25</c:v>
                </c:pt>
                <c:pt idx="6">
                  <c:v>30</c:v>
                </c:pt>
                <c:pt idx="7">
                  <c:v>35</c:v>
                </c:pt>
                <c:pt idx="8">
                  <c:v>40</c:v>
                </c:pt>
              </c:numCache>
            </c:numRef>
          </c:xVal>
          <c:yVal>
            <c:numRef>
              <c:f>'Near-bed'!$B$46:$B$55</c:f>
              <c:numCache>
                <c:formatCode>0</c:formatCode>
                <c:ptCount val="10"/>
                <c:pt idx="0">
                  <c:v>-7.5046652157174876</c:v>
                </c:pt>
                <c:pt idx="1">
                  <c:v>-11.865917579353061</c:v>
                </c:pt>
                <c:pt idx="2">
                  <c:v>-16.780941570722426</c:v>
                </c:pt>
                <c:pt idx="3">
                  <c:v>-20.55237212586421</c:v>
                </c:pt>
                <c:pt idx="4">
                  <c:v>-23.731835158706122</c:v>
                </c:pt>
                <c:pt idx="5">
                  <c:v>-26.532998322843202</c:v>
                </c:pt>
                <c:pt idx="6">
                  <c:v>-29.065443399335919</c:v>
                </c:pt>
                <c:pt idx="7">
                  <c:v>-31.394266992557732</c:v>
                </c:pt>
                <c:pt idx="8">
                  <c:v>-33.561883141444852</c:v>
                </c:pt>
              </c:numCache>
            </c:numRef>
          </c:yVal>
          <c:smooth val="1"/>
        </c:ser>
        <c:ser>
          <c:idx val="6"/>
          <c:order val="7"/>
          <c:tx>
            <c:v>Present tests</c:v>
          </c:tx>
          <c:spPr>
            <a:ln w="28575">
              <a:noFill/>
            </a:ln>
          </c:spPr>
          <c:marker>
            <c:symbol val="diamond"/>
            <c:size val="7"/>
            <c:spPr>
              <a:solidFill>
                <a:srgbClr val="002060"/>
              </a:solidFill>
            </c:spPr>
          </c:marker>
          <c:xVal>
            <c:numRef>
              <c:f>'Model tests'!$N$15:$N$23</c:f>
              <c:numCache>
                <c:formatCode>0.00</c:formatCode>
                <c:ptCount val="9"/>
                <c:pt idx="0">
                  <c:v>9.3749999999999982</c:v>
                </c:pt>
                <c:pt idx="1">
                  <c:v>9.3749999999999982</c:v>
                </c:pt>
                <c:pt idx="2" formatCode="0\.0">
                  <c:v>11.904761904761905</c:v>
                </c:pt>
                <c:pt idx="3" formatCode="0\.0">
                  <c:v>18.749999999999996</c:v>
                </c:pt>
                <c:pt idx="4" formatCode="0\.0">
                  <c:v>18.749999999999996</c:v>
                </c:pt>
                <c:pt idx="5" formatCode="0\.0">
                  <c:v>30.303030303030305</c:v>
                </c:pt>
                <c:pt idx="6" formatCode="0\.0">
                  <c:v>24.242424242424246</c:v>
                </c:pt>
                <c:pt idx="7" formatCode="General">
                  <c:v>37.499999999999993</c:v>
                </c:pt>
                <c:pt idx="8" formatCode="General">
                  <c:v>37.499999999999993</c:v>
                </c:pt>
              </c:numCache>
            </c:numRef>
          </c:xVal>
          <c:yVal>
            <c:numRef>
              <c:f>'Model tests'!$K$15:$K$23</c:f>
              <c:numCache>
                <c:formatCode>0\.0</c:formatCode>
                <c:ptCount val="9"/>
                <c:pt idx="0">
                  <c:v>-8.5</c:v>
                </c:pt>
                <c:pt idx="1">
                  <c:v>-8.5</c:v>
                </c:pt>
                <c:pt idx="2">
                  <c:v>-13.714285714285714</c:v>
                </c:pt>
                <c:pt idx="3">
                  <c:v>-24</c:v>
                </c:pt>
                <c:pt idx="4">
                  <c:v>-24</c:v>
                </c:pt>
                <c:pt idx="5">
                  <c:v>-43</c:v>
                </c:pt>
                <c:pt idx="6">
                  <c:v>-34</c:v>
                </c:pt>
                <c:pt idx="7">
                  <c:v>-54</c:v>
                </c:pt>
                <c:pt idx="8">
                  <c:v>-54</c:v>
                </c:pt>
              </c:numCache>
            </c:numRef>
          </c:yVal>
          <c:smooth val="1"/>
        </c:ser>
        <c:ser>
          <c:idx val="1"/>
          <c:order val="8"/>
          <c:tx>
            <c:v>Extrapolated Burcharth's rule</c:v>
          </c:tx>
          <c:spPr>
            <a:ln w="28575" cmpd="sng">
              <a:solidFill>
                <a:srgbClr val="00B050"/>
              </a:solidFill>
              <a:prstDash val="solid"/>
            </a:ln>
          </c:spPr>
          <c:marker>
            <c:symbol val="x"/>
            <c:size val="3"/>
            <c:spPr>
              <a:ln>
                <a:solidFill>
                  <a:srgbClr val="00B050"/>
                </a:solidFill>
              </a:ln>
            </c:spPr>
          </c:marker>
          <c:xVal>
            <c:numRef>
              <c:f>'Model tests'!$B$38:$B$39</c:f>
              <c:numCache>
                <c:formatCode>General</c:formatCode>
                <c:ptCount val="2"/>
                <c:pt idx="0">
                  <c:v>4</c:v>
                </c:pt>
                <c:pt idx="1">
                  <c:v>40</c:v>
                </c:pt>
              </c:numCache>
            </c:numRef>
          </c:xVal>
          <c:yVal>
            <c:numRef>
              <c:f>'Model tests'!$A$38:$A$39</c:f>
              <c:numCache>
                <c:formatCode>General</c:formatCode>
                <c:ptCount val="2"/>
                <c:pt idx="0">
                  <c:v>-2.95</c:v>
                </c:pt>
                <c:pt idx="1">
                  <c:v>-60.55</c:v>
                </c:pt>
              </c:numCache>
            </c:numRef>
          </c:yVal>
          <c:smooth val="1"/>
        </c:ser>
        <c:dLbls>
          <c:showLegendKey val="0"/>
          <c:showVal val="0"/>
          <c:showCatName val="0"/>
          <c:showSerName val="0"/>
          <c:showPercent val="0"/>
          <c:showBubbleSize val="0"/>
        </c:dLbls>
        <c:axId val="151766912"/>
        <c:axId val="151777664"/>
      </c:scatterChart>
      <c:valAx>
        <c:axId val="151766912"/>
        <c:scaling>
          <c:orientation val="minMax"/>
          <c:max val="42"/>
          <c:min val="2"/>
        </c:scaling>
        <c:delete val="0"/>
        <c:axPos val="b"/>
        <c:majorGridlines/>
        <c:title>
          <c:tx>
            <c:rich>
              <a:bodyPr/>
              <a:lstStyle/>
              <a:p>
                <a:pPr>
                  <a:defRPr sz="1000"/>
                </a:pPr>
                <a:r>
                  <a:rPr lang="en-US" sz="1000" b="1" i="0" baseline="0">
                    <a:effectLst/>
                  </a:rPr>
                  <a:t>h/</a:t>
                </a:r>
                <a:r>
                  <a:rPr lang="el-GR" sz="1000" b="1" i="0" baseline="0">
                    <a:effectLst/>
                  </a:rPr>
                  <a:t>Δ</a:t>
                </a:r>
                <a:r>
                  <a:rPr lang="en-US" sz="1000" b="1" i="0" baseline="0">
                    <a:effectLst/>
                  </a:rPr>
                  <a:t>D50</a:t>
                </a:r>
                <a:endParaRPr lang="fr-FR" sz="1000">
                  <a:effectLst/>
                </a:endParaRPr>
              </a:p>
            </c:rich>
          </c:tx>
          <c:layout>
            <c:manualLayout>
              <c:xMode val="edge"/>
              <c:yMode val="edge"/>
              <c:x val="0.43252385725918135"/>
              <c:y val="0.78542346542346542"/>
            </c:manualLayout>
          </c:layout>
          <c:overlay val="0"/>
        </c:title>
        <c:numFmt formatCode="0" sourceLinked="0"/>
        <c:majorTickMark val="out"/>
        <c:minorTickMark val="none"/>
        <c:tickLblPos val="nextTo"/>
        <c:crossAx val="151777664"/>
        <c:crossesAt val="-60"/>
        <c:crossBetween val="midCat"/>
      </c:valAx>
      <c:valAx>
        <c:axId val="151777664"/>
        <c:scaling>
          <c:orientation val="minMax"/>
          <c:max val="3"/>
          <c:min val="-60"/>
        </c:scaling>
        <c:delete val="0"/>
        <c:axPos val="l"/>
        <c:majorGridlines/>
        <c:title>
          <c:tx>
            <c:rich>
              <a:bodyPr rot="-5400000" vert="horz"/>
              <a:lstStyle/>
              <a:p>
                <a:pPr>
                  <a:defRPr/>
                </a:pPr>
                <a:r>
                  <a:rPr lang="en-US"/>
                  <a:t>Rc/D50</a:t>
                </a:r>
              </a:p>
            </c:rich>
          </c:tx>
          <c:layout>
            <c:manualLayout>
              <c:xMode val="edge"/>
              <c:yMode val="edge"/>
              <c:x val="1.4571946211542588E-2"/>
              <c:y val="0.39644867308253134"/>
            </c:manualLayout>
          </c:layout>
          <c:overlay val="0"/>
        </c:title>
        <c:numFmt formatCode="General" sourceLinked="1"/>
        <c:majorTickMark val="none"/>
        <c:minorTickMark val="none"/>
        <c:tickLblPos val="nextTo"/>
        <c:crossAx val="151766912"/>
        <c:crossesAt val="1"/>
        <c:crossBetween val="midCat"/>
      </c:valAx>
    </c:plotArea>
    <c:legend>
      <c:legendPos val="b"/>
      <c:legendEntry>
        <c:idx val="5"/>
        <c:delete val="1"/>
      </c:legendEntry>
      <c:legendEntry>
        <c:idx val="9"/>
        <c:delete val="1"/>
      </c:legendEntry>
      <c:layout>
        <c:manualLayout>
          <c:xMode val="edge"/>
          <c:yMode val="edge"/>
          <c:x val="4.4334285800613701E-2"/>
          <c:y val="0.859113512450288"/>
          <c:w val="0.84728638616881347"/>
          <c:h val="0.14088651505974339"/>
        </c:manualLayout>
      </c:layout>
      <c:overlay val="0"/>
      <c:spPr>
        <a:solidFill>
          <a:schemeClr val="bg1"/>
        </a:solidFill>
        <a:ln>
          <a:solidFill>
            <a:srgbClr val="0070C0"/>
          </a:solidFill>
        </a:ln>
      </c:sp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87154313085723"/>
          <c:y val="3.223993695003001E-2"/>
          <c:w val="0.84687714778439482"/>
          <c:h val="0.65109576215253795"/>
        </c:manualLayout>
      </c:layout>
      <c:scatterChart>
        <c:scatterStyle val="smoothMarker"/>
        <c:varyColors val="0"/>
        <c:ser>
          <c:idx val="2"/>
          <c:order val="0"/>
          <c:tx>
            <c:v>Foster, 1977</c:v>
          </c:tx>
          <c:spPr>
            <a:ln>
              <a:noFill/>
            </a:ln>
          </c:spPr>
          <c:marker>
            <c:symbol val="circle"/>
            <c:size val="5"/>
            <c:spPr>
              <a:solidFill>
                <a:srgbClr val="C00000"/>
              </a:solidFill>
            </c:spPr>
          </c:marker>
          <c:xVal>
            <c:numRef>
              <c:f>Foster!$C$22</c:f>
              <c:numCache>
                <c:formatCode>0\.0</c:formatCode>
                <c:ptCount val="1"/>
                <c:pt idx="0">
                  <c:v>10.126582278481012</c:v>
                </c:pt>
              </c:numCache>
            </c:numRef>
          </c:xVal>
          <c:yVal>
            <c:numRef>
              <c:f>Foster!$C$21</c:f>
              <c:numCache>
                <c:formatCode>General</c:formatCode>
                <c:ptCount val="1"/>
                <c:pt idx="0">
                  <c:v>-5.2</c:v>
                </c:pt>
              </c:numCache>
            </c:numRef>
          </c:yVal>
          <c:smooth val="1"/>
        </c:ser>
        <c:ser>
          <c:idx val="3"/>
          <c:order val="1"/>
          <c:tx>
            <c:v>Ahrens, 1987</c:v>
          </c:tx>
          <c:spPr>
            <a:ln>
              <a:noFill/>
            </a:ln>
          </c:spPr>
          <c:marker>
            <c:symbol val="triangle"/>
            <c:size val="7"/>
            <c:spPr>
              <a:solidFill>
                <a:schemeClr val="accent6">
                  <a:lumMod val="75000"/>
                </a:schemeClr>
              </a:solidFill>
            </c:spPr>
          </c:marker>
          <c:xVal>
            <c:numRef>
              <c:f>Ahrens!$B$38:$E$38</c:f>
              <c:numCache>
                <c:formatCode>0.00</c:formatCode>
                <c:ptCount val="4"/>
                <c:pt idx="0">
                  <c:v>8.2335719212643959</c:v>
                </c:pt>
                <c:pt idx="1">
                  <c:v>8.2335719212643959</c:v>
                </c:pt>
                <c:pt idx="2">
                  <c:v>8.2335719212643959</c:v>
                </c:pt>
                <c:pt idx="3">
                  <c:v>6.0180351464823145</c:v>
                </c:pt>
              </c:numCache>
            </c:numRef>
          </c:xVal>
          <c:yVal>
            <c:numRef>
              <c:f>Ahrens!$B$37:$E$37</c:f>
              <c:numCache>
                <c:formatCode>0.00</c:formatCode>
                <c:ptCount val="4"/>
                <c:pt idx="0">
                  <c:v>-4.3053676919168371</c:v>
                </c:pt>
                <c:pt idx="1">
                  <c:v>-3.7524339359724053</c:v>
                </c:pt>
                <c:pt idx="2">
                  <c:v>-2.8022468019708091</c:v>
                </c:pt>
                <c:pt idx="3">
                  <c:v>-0.21770843945914414</c:v>
                </c:pt>
              </c:numCache>
            </c:numRef>
          </c:yVal>
          <c:smooth val="1"/>
        </c:ser>
        <c:ser>
          <c:idx val="0"/>
          <c:order val="2"/>
          <c:tx>
            <c:v>Vidal, 1995</c:v>
          </c:tx>
          <c:marker>
            <c:symbol val="none"/>
          </c:marker>
          <c:trendline>
            <c:trendlineType val="power"/>
            <c:dispRSqr val="0"/>
            <c:dispEq val="0"/>
          </c:trendline>
          <c:xVal>
            <c:numRef>
              <c:f>Vidal!$B$109:$B$131</c:f>
              <c:numCache>
                <c:formatCode>0.00</c:formatCode>
                <c:ptCount val="23"/>
                <c:pt idx="0">
                  <c:v>4.2412569238025162</c:v>
                </c:pt>
                <c:pt idx="1">
                  <c:v>4.2322335293852005</c:v>
                </c:pt>
                <c:pt idx="2">
                  <c:v>4.2370721611741962</c:v>
                </c:pt>
                <c:pt idx="3">
                  <c:v>4.2557728191695015</c:v>
                </c:pt>
                <c:pt idx="4">
                  <c:v>4.2883355033711181</c:v>
                </c:pt>
                <c:pt idx="5">
                  <c:v>4.3347602137790453</c:v>
                </c:pt>
                <c:pt idx="6">
                  <c:v>4.395046950393283</c:v>
                </c:pt>
                <c:pt idx="7">
                  <c:v>4.4691957132138311</c:v>
                </c:pt>
                <c:pt idx="8">
                  <c:v>4.5572065022406907</c:v>
                </c:pt>
                <c:pt idx="9">
                  <c:v>4.6590793174738607</c:v>
                </c:pt>
                <c:pt idx="10">
                  <c:v>4.7748141589133404</c:v>
                </c:pt>
                <c:pt idx="11">
                  <c:v>4.9044110265591314</c:v>
                </c:pt>
                <c:pt idx="12">
                  <c:v>5.0478699204112338</c:v>
                </c:pt>
                <c:pt idx="13">
                  <c:v>5.2051908404696459</c:v>
                </c:pt>
                <c:pt idx="14">
                  <c:v>5.3763737867343693</c:v>
                </c:pt>
                <c:pt idx="15">
                  <c:v>5.5614187592054014</c:v>
                </c:pt>
                <c:pt idx="16">
                  <c:v>5.7603257578827458</c:v>
                </c:pt>
                <c:pt idx="17">
                  <c:v>5.9730947827664007</c:v>
                </c:pt>
                <c:pt idx="18">
                  <c:v>6.1997258338563661</c:v>
                </c:pt>
                <c:pt idx="19">
                  <c:v>6.4402189111526296</c:v>
                </c:pt>
                <c:pt idx="20">
                  <c:v>6.6945740146552168</c:v>
                </c:pt>
                <c:pt idx="21">
                  <c:v>6.9627911443641128</c:v>
                </c:pt>
                <c:pt idx="22">
                  <c:v>7.2448703002793211</c:v>
                </c:pt>
              </c:numCache>
            </c:numRef>
          </c:xVal>
          <c:yVal>
            <c:numRef>
              <c:f>Vidal!$A$109:$A$131</c:f>
              <c:numCache>
                <c:formatCode>General</c:formatCode>
                <c:ptCount val="23"/>
                <c:pt idx="0">
                  <c:v>2.4</c:v>
                </c:pt>
                <c:pt idx="1">
                  <c:v>2.2000000000000002</c:v>
                </c:pt>
                <c:pt idx="2">
                  <c:v>2</c:v>
                </c:pt>
                <c:pt idx="3">
                  <c:v>1.8</c:v>
                </c:pt>
                <c:pt idx="4">
                  <c:v>1.6</c:v>
                </c:pt>
                <c:pt idx="5">
                  <c:v>1.4</c:v>
                </c:pt>
                <c:pt idx="6">
                  <c:v>1.2</c:v>
                </c:pt>
                <c:pt idx="7">
                  <c:v>1</c:v>
                </c:pt>
                <c:pt idx="8">
                  <c:v>0.8</c:v>
                </c:pt>
                <c:pt idx="9">
                  <c:v>0.6</c:v>
                </c:pt>
                <c:pt idx="10">
                  <c:v>0.4</c:v>
                </c:pt>
                <c:pt idx="11">
                  <c:v>0.2</c:v>
                </c:pt>
                <c:pt idx="12">
                  <c:v>0</c:v>
                </c:pt>
                <c:pt idx="13">
                  <c:v>-0.2</c:v>
                </c:pt>
                <c:pt idx="14">
                  <c:v>-0.4</c:v>
                </c:pt>
                <c:pt idx="15">
                  <c:v>-0.6</c:v>
                </c:pt>
                <c:pt idx="16">
                  <c:v>-0.8</c:v>
                </c:pt>
                <c:pt idx="17">
                  <c:v>-1</c:v>
                </c:pt>
                <c:pt idx="18">
                  <c:v>-1.2</c:v>
                </c:pt>
                <c:pt idx="19">
                  <c:v>-1.3999999999999899</c:v>
                </c:pt>
                <c:pt idx="20">
                  <c:v>-1.5999999999999901</c:v>
                </c:pt>
                <c:pt idx="21">
                  <c:v>-1.7999999999999901</c:v>
                </c:pt>
                <c:pt idx="22">
                  <c:v>-1.99999999999999</c:v>
                </c:pt>
              </c:numCache>
            </c:numRef>
          </c:yVal>
          <c:smooth val="1"/>
        </c:ser>
        <c:ser>
          <c:idx val="6"/>
          <c:order val="3"/>
          <c:tx>
            <c:v>Present tests</c:v>
          </c:tx>
          <c:spPr>
            <a:ln w="28575">
              <a:noFill/>
            </a:ln>
          </c:spPr>
          <c:marker>
            <c:symbol val="diamond"/>
            <c:size val="7"/>
            <c:spPr>
              <a:solidFill>
                <a:srgbClr val="002060"/>
              </a:solidFill>
            </c:spPr>
          </c:marker>
          <c:xVal>
            <c:numRef>
              <c:f>Recap!$H$51:$H$52</c:f>
              <c:numCache>
                <c:formatCode>0\.0</c:formatCode>
                <c:ptCount val="2"/>
                <c:pt idx="0">
                  <c:v>30.303030303030305</c:v>
                </c:pt>
                <c:pt idx="1">
                  <c:v>24.242424242424242</c:v>
                </c:pt>
              </c:numCache>
            </c:numRef>
          </c:xVal>
          <c:yVal>
            <c:numRef>
              <c:f>Recap!$G$51:$G$52</c:f>
              <c:numCache>
                <c:formatCode>0</c:formatCode>
                <c:ptCount val="2"/>
                <c:pt idx="0">
                  <c:v>-43</c:v>
                </c:pt>
                <c:pt idx="1">
                  <c:v>-34</c:v>
                </c:pt>
              </c:numCache>
            </c:numRef>
          </c:yVal>
          <c:smooth val="1"/>
        </c:ser>
        <c:ser>
          <c:idx val="5"/>
          <c:order val="4"/>
          <c:tx>
            <c:v>Burcharth's rule, 2003</c:v>
          </c:tx>
          <c:spPr>
            <a:ln w="28575">
              <a:solidFill>
                <a:srgbClr val="C00000"/>
              </a:solidFill>
            </a:ln>
          </c:spPr>
          <c:marker>
            <c:symbol val="none"/>
          </c:marker>
          <c:xVal>
            <c:numRef>
              <c:f>Burcharth!$H$21:$H$22</c:f>
              <c:numCache>
                <c:formatCode>General</c:formatCode>
                <c:ptCount val="2"/>
                <c:pt idx="0">
                  <c:v>0</c:v>
                </c:pt>
                <c:pt idx="1">
                  <c:v>4</c:v>
                </c:pt>
              </c:numCache>
            </c:numRef>
          </c:xVal>
          <c:yVal>
            <c:numRef>
              <c:f>Burcharth!$G$21:$G$22</c:f>
              <c:numCache>
                <c:formatCode>General</c:formatCode>
                <c:ptCount val="2"/>
                <c:pt idx="0">
                  <c:v>3.45</c:v>
                </c:pt>
                <c:pt idx="1">
                  <c:v>-2.95</c:v>
                </c:pt>
              </c:numCache>
            </c:numRef>
          </c:yVal>
          <c:smooth val="1"/>
        </c:ser>
        <c:ser>
          <c:idx val="1"/>
          <c:order val="5"/>
          <c:tx>
            <c:v>Extrapolated Brucharth's rule</c:v>
          </c:tx>
          <c:spPr>
            <a:ln w="28575" cmpd="sng">
              <a:solidFill>
                <a:srgbClr val="C00000"/>
              </a:solidFill>
              <a:prstDash val="sysDash"/>
            </a:ln>
          </c:spPr>
          <c:marker>
            <c:symbol val="none"/>
          </c:marker>
          <c:xVal>
            <c:numRef>
              <c:f>'Model tests'!$B$38:$B$39</c:f>
              <c:numCache>
                <c:formatCode>General</c:formatCode>
                <c:ptCount val="2"/>
                <c:pt idx="0">
                  <c:v>4</c:v>
                </c:pt>
                <c:pt idx="1">
                  <c:v>40</c:v>
                </c:pt>
              </c:numCache>
            </c:numRef>
          </c:xVal>
          <c:yVal>
            <c:numRef>
              <c:f>'Model tests'!$A$38:$A$39</c:f>
              <c:numCache>
                <c:formatCode>General</c:formatCode>
                <c:ptCount val="2"/>
                <c:pt idx="0">
                  <c:v>-2.95</c:v>
                </c:pt>
                <c:pt idx="1">
                  <c:v>-60.55</c:v>
                </c:pt>
              </c:numCache>
            </c:numRef>
          </c:yVal>
          <c:smooth val="1"/>
        </c:ser>
        <c:dLbls>
          <c:showLegendKey val="0"/>
          <c:showVal val="0"/>
          <c:showCatName val="0"/>
          <c:showSerName val="0"/>
          <c:showPercent val="0"/>
          <c:showBubbleSize val="0"/>
        </c:dLbls>
        <c:axId val="147440768"/>
        <c:axId val="147442688"/>
      </c:scatterChart>
      <c:valAx>
        <c:axId val="147440768"/>
        <c:scaling>
          <c:orientation val="minMax"/>
          <c:max val="40"/>
          <c:min val="0"/>
        </c:scaling>
        <c:delete val="0"/>
        <c:axPos val="b"/>
        <c:majorGridlines/>
        <c:title>
          <c:tx>
            <c:rich>
              <a:bodyPr/>
              <a:lstStyle/>
              <a:p>
                <a:pPr>
                  <a:defRPr sz="1000"/>
                </a:pPr>
                <a:r>
                  <a:rPr lang="en-US" sz="1000" b="1" i="0" baseline="0">
                    <a:effectLst/>
                  </a:rPr>
                  <a:t>h/</a:t>
                </a:r>
                <a:r>
                  <a:rPr lang="el-GR" sz="1000" b="1" i="0" baseline="0">
                    <a:effectLst/>
                  </a:rPr>
                  <a:t>Δ</a:t>
                </a:r>
                <a:r>
                  <a:rPr lang="en-US" sz="1000" b="1" i="0" baseline="0">
                    <a:effectLst/>
                  </a:rPr>
                  <a:t>Dn</a:t>
                </a:r>
                <a:endParaRPr lang="fr-FR" sz="1000">
                  <a:effectLst/>
                </a:endParaRPr>
              </a:p>
            </c:rich>
          </c:tx>
          <c:layout>
            <c:manualLayout>
              <c:xMode val="edge"/>
              <c:yMode val="edge"/>
              <c:x val="0.3868935737871475"/>
              <c:y val="0.7273306626145416"/>
            </c:manualLayout>
          </c:layout>
          <c:overlay val="0"/>
        </c:title>
        <c:numFmt formatCode="0" sourceLinked="0"/>
        <c:majorTickMark val="out"/>
        <c:minorTickMark val="none"/>
        <c:tickLblPos val="nextTo"/>
        <c:crossAx val="147442688"/>
        <c:crossesAt val="-60"/>
        <c:crossBetween val="midCat"/>
      </c:valAx>
      <c:valAx>
        <c:axId val="147442688"/>
        <c:scaling>
          <c:orientation val="minMax"/>
          <c:max val="3"/>
          <c:min val="-60"/>
        </c:scaling>
        <c:delete val="0"/>
        <c:axPos val="l"/>
        <c:majorGridlines/>
        <c:title>
          <c:tx>
            <c:rich>
              <a:bodyPr rot="-5400000" vert="horz"/>
              <a:lstStyle/>
              <a:p>
                <a:pPr>
                  <a:defRPr/>
                </a:pPr>
                <a:r>
                  <a:rPr lang="en-US"/>
                  <a:t>Rc/Dn</a:t>
                </a:r>
              </a:p>
            </c:rich>
          </c:tx>
          <c:layout>
            <c:manualLayout>
              <c:xMode val="edge"/>
              <c:yMode val="edge"/>
              <c:x val="5.969802161826545E-3"/>
              <c:y val="0.39644855796534206"/>
            </c:manualLayout>
          </c:layout>
          <c:overlay val="0"/>
        </c:title>
        <c:numFmt formatCode="General" sourceLinked="1"/>
        <c:majorTickMark val="none"/>
        <c:minorTickMark val="none"/>
        <c:tickLblPos val="nextTo"/>
        <c:crossAx val="147440768"/>
        <c:crossesAt val="0"/>
        <c:crossBetween val="midCat"/>
      </c:valAx>
    </c:plotArea>
    <c:legend>
      <c:legendPos val="b"/>
      <c:legendEntry>
        <c:idx val="6"/>
        <c:delete val="1"/>
      </c:legendEntry>
      <c:layout>
        <c:manualLayout>
          <c:xMode val="edge"/>
          <c:yMode val="edge"/>
          <c:x val="6.9025631055377332E-2"/>
          <c:y val="0.81136316638106187"/>
          <c:w val="0.8911821824741043"/>
          <c:h val="0.15190588779708322"/>
        </c:manualLayout>
      </c:layout>
      <c:overlay val="0"/>
      <c:spPr>
        <a:solidFill>
          <a:schemeClr val="bg1"/>
        </a:solidFill>
        <a:ln>
          <a:solidFill>
            <a:srgbClr val="0070C0"/>
          </a:solidFill>
        </a:ln>
      </c:spPr>
    </c:legend>
    <c:plotVisOnly val="1"/>
    <c:dispBlanksAs val="gap"/>
    <c:showDLblsOverMax val="0"/>
  </c:chart>
  <c:spPr>
    <a:ln w="28575">
      <a:solidFill>
        <a:srgbClr val="C00000"/>
      </a:solidFill>
    </a:ln>
  </c:spPr>
  <c:printSettings>
    <c:headerFooter/>
    <c:pageMargins b="0.75" l="0.7" r="0.7" t="0.75" header="0.3" footer="0.3"/>
    <c:pageSetup orientation="portrait"/>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a:pPr>
            <a:r>
              <a:rPr lang="fr-FR" sz="1800" b="1" i="0" baseline="0">
                <a:effectLst/>
              </a:rPr>
              <a:t>STABLE SUBMERGED BREAKWATERS</a:t>
            </a:r>
            <a:endParaRPr lang="fr-FR">
              <a:effectLst/>
            </a:endParaRPr>
          </a:p>
          <a:p>
            <a:pPr algn="r">
              <a:defRPr/>
            </a:pPr>
            <a:r>
              <a:rPr lang="fr-FR" sz="1800" b="1" i="0" baseline="0">
                <a:effectLst/>
              </a:rPr>
              <a:t>with breaking waves</a:t>
            </a:r>
            <a:endParaRPr lang="fr-FR">
              <a:effectLst/>
            </a:endParaRPr>
          </a:p>
        </c:rich>
      </c:tx>
      <c:layout>
        <c:manualLayout>
          <c:xMode val="edge"/>
          <c:yMode val="edge"/>
          <c:x val="0.3692747945827472"/>
          <c:y val="1.5936254980079681E-2"/>
        </c:manualLayout>
      </c:layout>
      <c:overlay val="0"/>
    </c:title>
    <c:autoTitleDeleted val="0"/>
    <c:plotArea>
      <c:layout/>
      <c:scatterChart>
        <c:scatterStyle val="smoothMarker"/>
        <c:varyColors val="0"/>
        <c:ser>
          <c:idx val="2"/>
          <c:order val="0"/>
          <c:tx>
            <c:v>D50 = 0.25 m</c:v>
          </c:tx>
          <c:marker>
            <c:symbol val="none"/>
          </c:marker>
          <c:xVal>
            <c:numRef>
              <c:f>'Model tests'!$A$68:$A$87</c:f>
              <c:numCache>
                <c:formatCode>General</c:formatCode>
                <c:ptCount val="20"/>
                <c:pt idx="0">
                  <c:v>0.75</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'Model tests'!$C$68:$C$87</c:f>
              <c:numCache>
                <c:formatCode>0.00</c:formatCode>
                <c:ptCount val="20"/>
                <c:pt idx="0">
                  <c:v>0.15000000000000005</c:v>
                </c:pt>
                <c:pt idx="1">
                  <c:v>-0.56874999999999998</c:v>
                </c:pt>
                <c:pt idx="2">
                  <c:v>-0.71250000000000002</c:v>
                </c:pt>
                <c:pt idx="3">
                  <c:v>-0.78437500000000004</c:v>
                </c:pt>
                <c:pt idx="4">
                  <c:v>-0.82750000000000001</c:v>
                </c:pt>
                <c:pt idx="5">
                  <c:v>-0.85625000000000007</c:v>
                </c:pt>
              </c:numCache>
            </c:numRef>
          </c:yVal>
          <c:smooth val="1"/>
        </c:ser>
        <c:ser>
          <c:idx val="1"/>
          <c:order val="1"/>
          <c:tx>
            <c:v>D50 = 0.5 m</c:v>
          </c:tx>
          <c:marker>
            <c:symbol val="none"/>
          </c:marker>
          <c:xVal>
            <c:numRef>
              <c:f>'Model tests'!$D$68:$D$87</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'Model tests'!$F$68:$F$87</c:f>
              <c:numCache>
                <c:formatCode>0.00</c:formatCode>
                <c:ptCount val="20"/>
                <c:pt idx="0">
                  <c:v>0.72500000000000009</c:v>
                </c:pt>
                <c:pt idx="1">
                  <c:v>-0.13749999999999996</c:v>
                </c:pt>
                <c:pt idx="2">
                  <c:v>-0.42499999999999999</c:v>
                </c:pt>
                <c:pt idx="3">
                  <c:v>-0.56874999999999998</c:v>
                </c:pt>
                <c:pt idx="4">
                  <c:v>-0.65500000000000003</c:v>
                </c:pt>
                <c:pt idx="5">
                  <c:v>-0.71250000000000002</c:v>
                </c:pt>
                <c:pt idx="6">
                  <c:v>-0.75357142857142867</c:v>
                </c:pt>
                <c:pt idx="7">
                  <c:v>-0.78437500000000004</c:v>
                </c:pt>
                <c:pt idx="8">
                  <c:v>-0.80833333333333335</c:v>
                </c:pt>
                <c:pt idx="9">
                  <c:v>-0.82750000000000001</c:v>
                </c:pt>
                <c:pt idx="10">
                  <c:v>-0.84318181818181825</c:v>
                </c:pt>
                <c:pt idx="11">
                  <c:v>-0.85625000000000007</c:v>
                </c:pt>
              </c:numCache>
            </c:numRef>
          </c:yVal>
          <c:smooth val="1"/>
        </c:ser>
        <c:ser>
          <c:idx val="0"/>
          <c:order val="2"/>
          <c:tx>
            <c:v>D50 = 1  m</c:v>
          </c:tx>
          <c:marker>
            <c:symbol val="none"/>
          </c:marker>
          <c:xVal>
            <c:numRef>
              <c:f>'Model tests'!$H$68:$H$87</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'Model tests'!$J$68:$J$87</c:f>
              <c:numCache>
                <c:formatCode>0.00</c:formatCode>
                <c:ptCount val="20"/>
                <c:pt idx="2">
                  <c:v>0.15000000000000005</c:v>
                </c:pt>
                <c:pt idx="3">
                  <c:v>-0.13749999999999996</c:v>
                </c:pt>
                <c:pt idx="4">
                  <c:v>-0.30999999999999994</c:v>
                </c:pt>
                <c:pt idx="5">
                  <c:v>-0.42499999999999999</c:v>
                </c:pt>
                <c:pt idx="6">
                  <c:v>-0.50714285714285712</c:v>
                </c:pt>
                <c:pt idx="7">
                  <c:v>-0.56874999999999998</c:v>
                </c:pt>
                <c:pt idx="8">
                  <c:v>-0.6166666666666667</c:v>
                </c:pt>
                <c:pt idx="9">
                  <c:v>-0.65500000000000003</c:v>
                </c:pt>
                <c:pt idx="10">
                  <c:v>-0.6863636363636364</c:v>
                </c:pt>
                <c:pt idx="11">
                  <c:v>-0.71250000000000002</c:v>
                </c:pt>
                <c:pt idx="12">
                  <c:v>-0.73461538461538467</c:v>
                </c:pt>
                <c:pt idx="13">
                  <c:v>-0.75357142857142867</c:v>
                </c:pt>
                <c:pt idx="14">
                  <c:v>-0.77</c:v>
                </c:pt>
                <c:pt idx="15">
                  <c:v>-0.78437500000000004</c:v>
                </c:pt>
                <c:pt idx="16">
                  <c:v>-0.79705882352941182</c:v>
                </c:pt>
                <c:pt idx="17">
                  <c:v>-0.80833333333333335</c:v>
                </c:pt>
                <c:pt idx="18">
                  <c:v>-0.81842105263157894</c:v>
                </c:pt>
                <c:pt idx="19">
                  <c:v>-0.82750000000000001</c:v>
                </c:pt>
              </c:numCache>
            </c:numRef>
          </c:yVal>
          <c:smooth val="1"/>
        </c:ser>
        <c:ser>
          <c:idx val="3"/>
          <c:order val="3"/>
          <c:tx>
            <c:v>D50 = 1.5 m</c:v>
          </c:tx>
          <c:marker>
            <c:symbol val="none"/>
          </c:marker>
          <c:xVal>
            <c:numRef>
              <c:f>'Model tests'!$K$68:$K$87</c:f>
              <c:numCache>
                <c:formatCode>General</c:formatCode>
                <c:ptCount val="2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numCache>
            </c:numRef>
          </c:xVal>
          <c:yVal>
            <c:numRef>
              <c:f>'Model tests'!$M$68:$M$87</c:f>
              <c:numCache>
                <c:formatCode>0.00</c:formatCode>
                <c:ptCount val="20"/>
                <c:pt idx="4">
                  <c:v>3.5000000000000142E-2</c:v>
                </c:pt>
                <c:pt idx="5">
                  <c:v>-0.13749999999999987</c:v>
                </c:pt>
                <c:pt idx="6">
                  <c:v>-0.26071428571428562</c:v>
                </c:pt>
                <c:pt idx="7">
                  <c:v>-0.35312499999999991</c:v>
                </c:pt>
                <c:pt idx="8">
                  <c:v>-0.42499999999999993</c:v>
                </c:pt>
                <c:pt idx="9">
                  <c:v>-0.48249999999999993</c:v>
                </c:pt>
                <c:pt idx="10">
                  <c:v>-0.52954545454545443</c:v>
                </c:pt>
                <c:pt idx="11">
                  <c:v>-0.56874999999999998</c:v>
                </c:pt>
                <c:pt idx="12">
                  <c:v>-0.60192307692307689</c:v>
                </c:pt>
                <c:pt idx="13">
                  <c:v>-0.63035714285714284</c:v>
                </c:pt>
                <c:pt idx="14">
                  <c:v>-0.65499999999999992</c:v>
                </c:pt>
                <c:pt idx="15">
                  <c:v>-0.67656249999999996</c:v>
                </c:pt>
                <c:pt idx="16">
                  <c:v>-0.69558823529411762</c:v>
                </c:pt>
                <c:pt idx="17">
                  <c:v>-0.71249999999999991</c:v>
                </c:pt>
                <c:pt idx="18">
                  <c:v>-0.72763157894736841</c:v>
                </c:pt>
                <c:pt idx="19">
                  <c:v>-0.74124999999999996</c:v>
                </c:pt>
              </c:numCache>
            </c:numRef>
          </c:yVal>
          <c:smooth val="1"/>
        </c:ser>
        <c:dLbls>
          <c:showLegendKey val="0"/>
          <c:showVal val="0"/>
          <c:showCatName val="0"/>
          <c:showSerName val="0"/>
          <c:showPercent val="0"/>
          <c:showBubbleSize val="0"/>
        </c:dLbls>
        <c:axId val="151833600"/>
        <c:axId val="151835776"/>
      </c:scatterChart>
      <c:valAx>
        <c:axId val="151833600"/>
        <c:scaling>
          <c:orientation val="minMax"/>
          <c:max val="20"/>
          <c:min val="0"/>
        </c:scaling>
        <c:delete val="0"/>
        <c:axPos val="b"/>
        <c:majorGridlines/>
        <c:title>
          <c:tx>
            <c:rich>
              <a:bodyPr/>
              <a:lstStyle/>
              <a:p>
                <a:pPr>
                  <a:defRPr/>
                </a:pPr>
                <a:r>
                  <a:rPr lang="fr-FR"/>
                  <a:t>h (m)</a:t>
                </a:r>
              </a:p>
            </c:rich>
          </c:tx>
          <c:overlay val="0"/>
        </c:title>
        <c:numFmt formatCode="0" sourceLinked="0"/>
        <c:majorTickMark val="out"/>
        <c:minorTickMark val="none"/>
        <c:tickLblPos val="nextTo"/>
        <c:crossAx val="151835776"/>
        <c:crossesAt val="-7"/>
        <c:crossBetween val="midCat"/>
        <c:majorUnit val="5"/>
      </c:valAx>
      <c:valAx>
        <c:axId val="151835776"/>
        <c:scaling>
          <c:orientation val="minMax"/>
          <c:max val="0"/>
          <c:min val="-1"/>
        </c:scaling>
        <c:delete val="0"/>
        <c:axPos val="l"/>
        <c:majorGridlines/>
        <c:title>
          <c:tx>
            <c:rich>
              <a:bodyPr rot="-5400000" vert="horz"/>
              <a:lstStyle/>
              <a:p>
                <a:pPr>
                  <a:defRPr/>
                </a:pPr>
                <a:r>
                  <a:rPr lang="en-US"/>
                  <a:t>Rc/h</a:t>
                </a:r>
              </a:p>
            </c:rich>
          </c:tx>
          <c:overlay val="0"/>
        </c:title>
        <c:numFmt formatCode="0.0" sourceLinked="0"/>
        <c:majorTickMark val="out"/>
        <c:minorTickMark val="none"/>
        <c:tickLblPos val="nextTo"/>
        <c:crossAx val="151833600"/>
        <c:crossesAt val="-7"/>
        <c:crossBetween val="midCat"/>
        <c:majorUnit val="0.2"/>
      </c:valAx>
    </c:plotArea>
    <c:legend>
      <c:legendPos val="b"/>
      <c:overlay val="0"/>
    </c:legend>
    <c:plotVisOnly val="1"/>
    <c:dispBlanksAs val="gap"/>
    <c:showDLblsOverMax val="0"/>
  </c:chart>
  <c:spPr>
    <a:solidFill>
      <a:schemeClr val="lt1"/>
    </a:solidFill>
    <a:ln w="25400" cap="flat" cmpd="sng" algn="ctr">
      <a:solidFill>
        <a:schemeClr val="accent2"/>
      </a:solidFill>
      <a:prstDash val="solid"/>
    </a:ln>
    <a:effectLst/>
  </c:spPr>
  <c:txPr>
    <a:bodyPr/>
    <a:lstStyle/>
    <a:p>
      <a:pPr>
        <a:defRPr>
          <a:solidFill>
            <a:schemeClr val="dk1"/>
          </a:solidFill>
          <a:latin typeface="+mn-lt"/>
          <a:ea typeface="+mn-ea"/>
          <a:cs typeface="+mn-cs"/>
        </a:defRPr>
      </a:pPr>
      <a:endParaRPr lang="fr-FR"/>
    </a:p>
  </c:txPr>
  <c:printSettings>
    <c:headerFooter/>
    <c:pageMargins b="0.75" l="0.7" r="0.7" t="0.75" header="0.3" footer="0.3"/>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AB</c:v>
          </c:tx>
          <c:spPr>
            <a:ln w="28575">
              <a:noFill/>
            </a:ln>
          </c:spPr>
          <c:marker>
            <c:symbol val="circle"/>
            <c:size val="5"/>
            <c:spPr>
              <a:solidFill>
                <a:schemeClr val="accent1"/>
              </a:solidFill>
            </c:spPr>
          </c:marker>
          <c:xVal>
            <c:numRef>
              <c:f>(Formes!$B$6,Formes!$B$11)</c:f>
              <c:numCache>
                <c:formatCode>0\.0</c:formatCode>
                <c:ptCount val="2"/>
                <c:pt idx="0">
                  <c:v>0</c:v>
                </c:pt>
                <c:pt idx="1">
                  <c:v>20</c:v>
                </c:pt>
              </c:numCache>
            </c:numRef>
          </c:xVal>
          <c:yVal>
            <c:numRef>
              <c:f>(Formes!$C$6,Formes!$C$11)</c:f>
              <c:numCache>
                <c:formatCode>0\.0</c:formatCode>
                <c:ptCount val="2"/>
                <c:pt idx="0">
                  <c:v>0</c:v>
                </c:pt>
                <c:pt idx="1">
                  <c:v>0</c:v>
                </c:pt>
              </c:numCache>
            </c:numRef>
          </c:yVal>
          <c:smooth val="0"/>
        </c:ser>
        <c:ser>
          <c:idx val="1"/>
          <c:order val="1"/>
          <c:tx>
            <c:v>AT</c:v>
          </c:tx>
          <c:spPr>
            <a:ln w="28575">
              <a:solidFill>
                <a:schemeClr val="tx1"/>
              </a:solidFill>
            </a:ln>
          </c:spPr>
          <c:marker>
            <c:symbol val="none"/>
          </c:marker>
          <c:xVal>
            <c:numRef>
              <c:f>(Formes!$B$6,Formes!$B$7)</c:f>
              <c:numCache>
                <c:formatCode>0\.0</c:formatCode>
                <c:ptCount val="2"/>
                <c:pt idx="0">
                  <c:v>0</c:v>
                </c:pt>
                <c:pt idx="1">
                  <c:v>1.875</c:v>
                </c:pt>
              </c:numCache>
            </c:numRef>
          </c:xVal>
          <c:yVal>
            <c:numRef>
              <c:f>(Formes!$C$6,Formes!$C$7)</c:f>
              <c:numCache>
                <c:formatCode>0\.0</c:formatCode>
                <c:ptCount val="2"/>
                <c:pt idx="0">
                  <c:v>0</c:v>
                </c:pt>
                <c:pt idx="1">
                  <c:v>1.25</c:v>
                </c:pt>
              </c:numCache>
            </c:numRef>
          </c:yVal>
          <c:smooth val="0"/>
        </c:ser>
        <c:ser>
          <c:idx val="2"/>
          <c:order val="2"/>
          <c:tx>
            <c:v>TP</c:v>
          </c:tx>
          <c:spPr>
            <a:ln w="28575">
              <a:solidFill>
                <a:schemeClr val="tx1"/>
              </a:solidFill>
            </a:ln>
          </c:spPr>
          <c:marker>
            <c:symbol val="circle"/>
            <c:size val="5"/>
            <c:spPr>
              <a:solidFill>
                <a:schemeClr val="accent1"/>
              </a:solidFill>
            </c:spPr>
          </c:marker>
          <c:xVal>
            <c:numRef>
              <c:f>(Formes!$B$7,Formes!$B$8)</c:f>
              <c:numCache>
                <c:formatCode>0\.0</c:formatCode>
                <c:ptCount val="2"/>
                <c:pt idx="0">
                  <c:v>1.875</c:v>
                </c:pt>
                <c:pt idx="1">
                  <c:v>5.625</c:v>
                </c:pt>
              </c:numCache>
            </c:numRef>
          </c:xVal>
          <c:yVal>
            <c:numRef>
              <c:f>(Formes!$C$7,Formes!$C$8)</c:f>
              <c:numCache>
                <c:formatCode>0\.0</c:formatCode>
                <c:ptCount val="2"/>
                <c:pt idx="0">
                  <c:v>1.25</c:v>
                </c:pt>
                <c:pt idx="1">
                  <c:v>3.75</c:v>
                </c:pt>
              </c:numCache>
            </c:numRef>
          </c:yVal>
          <c:smooth val="0"/>
        </c:ser>
        <c:ser>
          <c:idx val="3"/>
          <c:order val="3"/>
          <c:tx>
            <c:v>PC1</c:v>
          </c:tx>
          <c:spPr>
            <a:ln w="28575">
              <a:solidFill>
                <a:schemeClr val="tx1"/>
              </a:solidFill>
            </a:ln>
          </c:spPr>
          <c:marker>
            <c:symbol val="circle"/>
            <c:size val="5"/>
            <c:spPr>
              <a:solidFill>
                <a:schemeClr val="accent1"/>
              </a:solidFill>
            </c:spPr>
          </c:marker>
          <c:xVal>
            <c:numRef>
              <c:f>(Formes!$B$8,Formes!$B$9)</c:f>
              <c:numCache>
                <c:formatCode>0\.0</c:formatCode>
                <c:ptCount val="2"/>
                <c:pt idx="0">
                  <c:v>5.625</c:v>
                </c:pt>
                <c:pt idx="1">
                  <c:v>7.5</c:v>
                </c:pt>
              </c:numCache>
            </c:numRef>
          </c:xVal>
          <c:yVal>
            <c:numRef>
              <c:f>(Formes!$C$8,Formes!$C$9)</c:f>
              <c:numCache>
                <c:formatCode>0\.0</c:formatCode>
                <c:ptCount val="2"/>
                <c:pt idx="0">
                  <c:v>3.75</c:v>
                </c:pt>
                <c:pt idx="1">
                  <c:v>5</c:v>
                </c:pt>
              </c:numCache>
            </c:numRef>
          </c:yVal>
          <c:smooth val="0"/>
        </c:ser>
        <c:ser>
          <c:idx val="4"/>
          <c:order val="4"/>
          <c:tx>
            <c:v>C1C2</c:v>
          </c:tx>
          <c:spPr>
            <a:ln w="28575">
              <a:solidFill>
                <a:schemeClr val="tx1"/>
              </a:solidFill>
            </a:ln>
          </c:spPr>
          <c:marker>
            <c:symbol val="none"/>
          </c:marker>
          <c:xVal>
            <c:numRef>
              <c:f>(Formes!$B$9,Formes!$B$10)</c:f>
              <c:numCache>
                <c:formatCode>0\.0</c:formatCode>
                <c:ptCount val="2"/>
                <c:pt idx="0">
                  <c:v>7.5</c:v>
                </c:pt>
                <c:pt idx="1">
                  <c:v>12.5</c:v>
                </c:pt>
              </c:numCache>
            </c:numRef>
          </c:xVal>
          <c:yVal>
            <c:numRef>
              <c:f>(Formes!$C$9,Formes!$C$10)</c:f>
              <c:numCache>
                <c:formatCode>0\.0</c:formatCode>
                <c:ptCount val="2"/>
                <c:pt idx="0">
                  <c:v>5</c:v>
                </c:pt>
                <c:pt idx="1">
                  <c:v>5</c:v>
                </c:pt>
              </c:numCache>
            </c:numRef>
          </c:yVal>
          <c:smooth val="0"/>
        </c:ser>
        <c:ser>
          <c:idx val="5"/>
          <c:order val="5"/>
          <c:tx>
            <c:v>C2B</c:v>
          </c:tx>
          <c:spPr>
            <a:ln w="28575">
              <a:solidFill>
                <a:schemeClr val="tx1"/>
              </a:solidFill>
            </a:ln>
          </c:spPr>
          <c:marker>
            <c:symbol val="circle"/>
            <c:size val="5"/>
            <c:spPr>
              <a:solidFill>
                <a:schemeClr val="accent1"/>
              </a:solidFill>
              <a:ln>
                <a:solidFill>
                  <a:schemeClr val="accent1"/>
                </a:solidFill>
              </a:ln>
            </c:spPr>
          </c:marker>
          <c:xVal>
            <c:numRef>
              <c:f>(Formes!$B$10,Formes!$B$11)</c:f>
              <c:numCache>
                <c:formatCode>0\.0</c:formatCode>
                <c:ptCount val="2"/>
                <c:pt idx="0">
                  <c:v>12.5</c:v>
                </c:pt>
                <c:pt idx="1">
                  <c:v>20</c:v>
                </c:pt>
              </c:numCache>
            </c:numRef>
          </c:xVal>
          <c:yVal>
            <c:numRef>
              <c:f>(Formes!$C$10,Formes!$C$11)</c:f>
              <c:numCache>
                <c:formatCode>0\.0</c:formatCode>
                <c:ptCount val="2"/>
                <c:pt idx="0">
                  <c:v>5</c:v>
                </c:pt>
                <c:pt idx="1">
                  <c:v>0</c:v>
                </c:pt>
              </c:numCache>
            </c:numRef>
          </c:yVal>
          <c:smooth val="0"/>
        </c:ser>
        <c:ser>
          <c:idx val="6"/>
          <c:order val="6"/>
          <c:tx>
            <c:v>SWL</c:v>
          </c:tx>
          <c:spPr>
            <a:ln w="19050">
              <a:solidFill>
                <a:schemeClr val="accent1"/>
              </a:solidFill>
            </a:ln>
          </c:spPr>
          <c:xVal>
            <c:numRef>
              <c:f>Formes!$B$13:$B$14</c:f>
              <c:numCache>
                <c:formatCode>0\.0</c:formatCode>
                <c:ptCount val="2"/>
                <c:pt idx="0">
                  <c:v>0</c:v>
                </c:pt>
                <c:pt idx="1">
                  <c:v>100</c:v>
                </c:pt>
              </c:numCache>
            </c:numRef>
          </c:xVal>
          <c:yVal>
            <c:numRef>
              <c:f>Formes!$C$13:$C$14</c:f>
              <c:numCache>
                <c:formatCode>0\.0</c:formatCode>
                <c:ptCount val="2"/>
                <c:pt idx="0">
                  <c:v>5</c:v>
                </c:pt>
                <c:pt idx="1">
                  <c:v>5</c:v>
                </c:pt>
              </c:numCache>
            </c:numRef>
          </c:yVal>
          <c:smooth val="0"/>
        </c:ser>
        <c:dLbls>
          <c:showLegendKey val="0"/>
          <c:showVal val="0"/>
          <c:showCatName val="0"/>
          <c:showSerName val="0"/>
          <c:showPercent val="0"/>
          <c:showBubbleSize val="0"/>
        </c:dLbls>
        <c:axId val="151878272"/>
        <c:axId val="151884160"/>
      </c:scatterChart>
      <c:valAx>
        <c:axId val="151878272"/>
        <c:scaling>
          <c:orientation val="minMax"/>
          <c:max val="100"/>
          <c:min val="0"/>
        </c:scaling>
        <c:delete val="0"/>
        <c:axPos val="b"/>
        <c:numFmt formatCode="#,##0" sourceLinked="0"/>
        <c:majorTickMark val="out"/>
        <c:minorTickMark val="none"/>
        <c:tickLblPos val="nextTo"/>
        <c:crossAx val="151884160"/>
        <c:crosses val="autoZero"/>
        <c:crossBetween val="midCat"/>
      </c:valAx>
      <c:valAx>
        <c:axId val="151884160"/>
        <c:scaling>
          <c:orientation val="minMax"/>
          <c:max val="10"/>
          <c:min val="0"/>
        </c:scaling>
        <c:delete val="0"/>
        <c:axPos val="l"/>
        <c:majorGridlines/>
        <c:numFmt formatCode="#,##0" sourceLinked="0"/>
        <c:majorTickMark val="out"/>
        <c:minorTickMark val="none"/>
        <c:tickLblPos val="nextTo"/>
        <c:crossAx val="1518782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AB</c:v>
          </c:tx>
          <c:spPr>
            <a:ln w="28575">
              <a:noFill/>
            </a:ln>
          </c:spPr>
          <c:marker>
            <c:symbol val="circle"/>
            <c:size val="5"/>
            <c:spPr>
              <a:solidFill>
                <a:schemeClr val="accent1"/>
              </a:solidFill>
            </c:spPr>
          </c:marker>
          <c:xVal>
            <c:numRef>
              <c:f>(Formes!$B$34,Formes!$B$39)</c:f>
              <c:numCache>
                <c:formatCode>0\.0</c:formatCode>
                <c:ptCount val="2"/>
                <c:pt idx="0">
                  <c:v>0</c:v>
                </c:pt>
                <c:pt idx="1">
                  <c:v>27.9</c:v>
                </c:pt>
              </c:numCache>
            </c:numRef>
          </c:xVal>
          <c:yVal>
            <c:numRef>
              <c:f>(Formes!$C$26,Formes!$C$39)</c:f>
              <c:numCache>
                <c:formatCode>0\.0</c:formatCode>
                <c:ptCount val="2"/>
                <c:pt idx="1">
                  <c:v>0</c:v>
                </c:pt>
              </c:numCache>
            </c:numRef>
          </c:yVal>
          <c:smooth val="0"/>
        </c:ser>
        <c:ser>
          <c:idx val="1"/>
          <c:order val="1"/>
          <c:tx>
            <c:v>AT</c:v>
          </c:tx>
          <c:spPr>
            <a:ln w="28575">
              <a:solidFill>
                <a:schemeClr val="tx1"/>
              </a:solidFill>
            </a:ln>
          </c:spPr>
          <c:marker>
            <c:symbol val="none"/>
          </c:marker>
          <c:xVal>
            <c:numRef>
              <c:f>(Formes!$B$34,Formes!$B$35)</c:f>
              <c:numCache>
                <c:formatCode>0\.0</c:formatCode>
                <c:ptCount val="2"/>
                <c:pt idx="0">
                  <c:v>0</c:v>
                </c:pt>
                <c:pt idx="1">
                  <c:v>2.25</c:v>
                </c:pt>
              </c:numCache>
            </c:numRef>
          </c:xVal>
          <c:yVal>
            <c:numRef>
              <c:f>(Formes!$C$34,Formes!$C$35)</c:f>
              <c:numCache>
                <c:formatCode>0\.0</c:formatCode>
                <c:ptCount val="2"/>
                <c:pt idx="0">
                  <c:v>0</c:v>
                </c:pt>
                <c:pt idx="1">
                  <c:v>1.5</c:v>
                </c:pt>
              </c:numCache>
            </c:numRef>
          </c:yVal>
          <c:smooth val="0"/>
        </c:ser>
        <c:ser>
          <c:idx val="2"/>
          <c:order val="2"/>
          <c:tx>
            <c:v>TP</c:v>
          </c:tx>
          <c:spPr>
            <a:ln w="28575">
              <a:solidFill>
                <a:schemeClr val="tx1"/>
              </a:solidFill>
            </a:ln>
          </c:spPr>
          <c:marker>
            <c:symbol val="circle"/>
            <c:size val="5"/>
            <c:spPr>
              <a:solidFill>
                <a:schemeClr val="accent1"/>
              </a:solidFill>
            </c:spPr>
          </c:marker>
          <c:xVal>
            <c:numRef>
              <c:f>(Formes!$B$35,Formes!$B$36)</c:f>
              <c:numCache>
                <c:formatCode>0\.0</c:formatCode>
                <c:ptCount val="2"/>
                <c:pt idx="0">
                  <c:v>2.25</c:v>
                </c:pt>
                <c:pt idx="1">
                  <c:v>18.25</c:v>
                </c:pt>
              </c:numCache>
            </c:numRef>
          </c:xVal>
          <c:yVal>
            <c:numRef>
              <c:f>(Formes!$C$35,Formes!$C$36)</c:f>
              <c:numCache>
                <c:formatCode>0\.0</c:formatCode>
                <c:ptCount val="2"/>
                <c:pt idx="0">
                  <c:v>1.5</c:v>
                </c:pt>
                <c:pt idx="1">
                  <c:v>3.1</c:v>
                </c:pt>
              </c:numCache>
            </c:numRef>
          </c:yVal>
          <c:smooth val="0"/>
        </c:ser>
        <c:ser>
          <c:idx val="3"/>
          <c:order val="3"/>
          <c:tx>
            <c:v>PC1</c:v>
          </c:tx>
          <c:spPr>
            <a:ln w="28575">
              <a:solidFill>
                <a:schemeClr val="tx1"/>
              </a:solidFill>
            </a:ln>
          </c:spPr>
          <c:marker>
            <c:symbol val="circle"/>
            <c:size val="5"/>
            <c:spPr>
              <a:solidFill>
                <a:schemeClr val="accent1"/>
              </a:solidFill>
            </c:spPr>
          </c:marker>
          <c:xVal>
            <c:numRef>
              <c:f>(Formes!$B$36,Formes!$B$37)</c:f>
              <c:numCache>
                <c:formatCode>0\.0</c:formatCode>
                <c:ptCount val="2"/>
                <c:pt idx="0">
                  <c:v>18.25</c:v>
                </c:pt>
                <c:pt idx="1">
                  <c:v>18.25</c:v>
                </c:pt>
              </c:numCache>
            </c:numRef>
          </c:xVal>
          <c:yVal>
            <c:numRef>
              <c:f>(Formes!$C$36,Formes!$C$37)</c:f>
              <c:numCache>
                <c:formatCode>0\.0</c:formatCode>
                <c:ptCount val="2"/>
                <c:pt idx="0">
                  <c:v>3.1</c:v>
                </c:pt>
                <c:pt idx="1">
                  <c:v>3.1</c:v>
                </c:pt>
              </c:numCache>
            </c:numRef>
          </c:yVal>
          <c:smooth val="0"/>
        </c:ser>
        <c:ser>
          <c:idx val="4"/>
          <c:order val="4"/>
          <c:tx>
            <c:v>C1C2</c:v>
          </c:tx>
          <c:spPr>
            <a:ln w="28575">
              <a:solidFill>
                <a:schemeClr val="tx1"/>
              </a:solidFill>
            </a:ln>
          </c:spPr>
          <c:marker>
            <c:symbol val="none"/>
          </c:marker>
          <c:xVal>
            <c:numRef>
              <c:f>(Formes!$B$37,Formes!$B$38)</c:f>
              <c:numCache>
                <c:formatCode>0\.0</c:formatCode>
                <c:ptCount val="2"/>
                <c:pt idx="0">
                  <c:v>18.25</c:v>
                </c:pt>
                <c:pt idx="1">
                  <c:v>23.25</c:v>
                </c:pt>
              </c:numCache>
            </c:numRef>
          </c:xVal>
          <c:yVal>
            <c:numRef>
              <c:f>(Formes!$C$37,Formes!$C$38)</c:f>
              <c:numCache>
                <c:formatCode>0.00</c:formatCode>
                <c:ptCount val="2"/>
                <c:pt idx="0" formatCode="0\.0">
                  <c:v>3.1</c:v>
                </c:pt>
                <c:pt idx="1">
                  <c:v>3.1</c:v>
                </c:pt>
              </c:numCache>
            </c:numRef>
          </c:yVal>
          <c:smooth val="0"/>
        </c:ser>
        <c:ser>
          <c:idx val="5"/>
          <c:order val="5"/>
          <c:tx>
            <c:v>C2B</c:v>
          </c:tx>
          <c:spPr>
            <a:ln w="28575">
              <a:solidFill>
                <a:schemeClr val="tx1"/>
              </a:solidFill>
            </a:ln>
          </c:spPr>
          <c:marker>
            <c:symbol val="circle"/>
            <c:size val="5"/>
            <c:spPr>
              <a:solidFill>
                <a:schemeClr val="accent1"/>
              </a:solidFill>
              <a:ln>
                <a:solidFill>
                  <a:schemeClr val="accent1"/>
                </a:solidFill>
              </a:ln>
            </c:spPr>
          </c:marker>
          <c:xVal>
            <c:numRef>
              <c:f>(Formes!$B$38,Formes!$B$39)</c:f>
              <c:numCache>
                <c:formatCode>0\.0</c:formatCode>
                <c:ptCount val="2"/>
                <c:pt idx="0">
                  <c:v>23.25</c:v>
                </c:pt>
                <c:pt idx="1">
                  <c:v>27.9</c:v>
                </c:pt>
              </c:numCache>
            </c:numRef>
          </c:xVal>
          <c:yVal>
            <c:numRef>
              <c:f>(Formes!$C$38,Formes!$C$39)</c:f>
              <c:numCache>
                <c:formatCode>0\.0</c:formatCode>
                <c:ptCount val="2"/>
                <c:pt idx="0" formatCode="0.00">
                  <c:v>3.1</c:v>
                </c:pt>
                <c:pt idx="1">
                  <c:v>0</c:v>
                </c:pt>
              </c:numCache>
            </c:numRef>
          </c:yVal>
          <c:smooth val="0"/>
        </c:ser>
        <c:ser>
          <c:idx val="6"/>
          <c:order val="6"/>
          <c:tx>
            <c:v>SWL</c:v>
          </c:tx>
          <c:spPr>
            <a:ln w="19050">
              <a:solidFill>
                <a:schemeClr val="accent1"/>
              </a:solidFill>
            </a:ln>
          </c:spPr>
          <c:xVal>
            <c:numRef>
              <c:f>Formes!$B$41:$B$42</c:f>
              <c:numCache>
                <c:formatCode>0\.0</c:formatCode>
                <c:ptCount val="2"/>
                <c:pt idx="0">
                  <c:v>0</c:v>
                </c:pt>
                <c:pt idx="1">
                  <c:v>100</c:v>
                </c:pt>
              </c:numCache>
            </c:numRef>
          </c:xVal>
          <c:yVal>
            <c:numRef>
              <c:f>Formes!$C$41:$C$42</c:f>
              <c:numCache>
                <c:formatCode>0\.0</c:formatCode>
                <c:ptCount val="2"/>
                <c:pt idx="0">
                  <c:v>5</c:v>
                </c:pt>
                <c:pt idx="1">
                  <c:v>5</c:v>
                </c:pt>
              </c:numCache>
            </c:numRef>
          </c:yVal>
          <c:smooth val="0"/>
        </c:ser>
        <c:dLbls>
          <c:showLegendKey val="0"/>
          <c:showVal val="0"/>
          <c:showCatName val="0"/>
          <c:showSerName val="0"/>
          <c:showPercent val="0"/>
          <c:showBubbleSize val="0"/>
        </c:dLbls>
        <c:axId val="152785664"/>
        <c:axId val="152787200"/>
      </c:scatterChart>
      <c:valAx>
        <c:axId val="152785664"/>
        <c:scaling>
          <c:orientation val="minMax"/>
          <c:max val="100"/>
          <c:min val="0"/>
        </c:scaling>
        <c:delete val="0"/>
        <c:axPos val="b"/>
        <c:numFmt formatCode="#,##0" sourceLinked="0"/>
        <c:majorTickMark val="out"/>
        <c:minorTickMark val="none"/>
        <c:tickLblPos val="nextTo"/>
        <c:crossAx val="152787200"/>
        <c:crosses val="autoZero"/>
        <c:crossBetween val="midCat"/>
      </c:valAx>
      <c:valAx>
        <c:axId val="152787200"/>
        <c:scaling>
          <c:orientation val="minMax"/>
          <c:max val="10"/>
          <c:min val="0"/>
        </c:scaling>
        <c:delete val="0"/>
        <c:axPos val="l"/>
        <c:majorGridlines/>
        <c:numFmt formatCode="#,##0" sourceLinked="0"/>
        <c:majorTickMark val="out"/>
        <c:minorTickMark val="none"/>
        <c:tickLblPos val="nextTo"/>
        <c:crossAx val="1527856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v>Vidal, 1995</c:v>
          </c:tx>
          <c:marker>
            <c:symbol val="none"/>
          </c:marker>
          <c:trendline>
            <c:trendlineType val="power"/>
            <c:dispRSqr val="0"/>
            <c:dispEq val="0"/>
          </c:trendline>
          <c:xVal>
            <c:numRef>
              <c:f>Vidal!$A$8:$A$30</c:f>
              <c:numCache>
                <c:formatCode>General</c:formatCode>
                <c:ptCount val="23"/>
                <c:pt idx="0">
                  <c:v>-2</c:v>
                </c:pt>
                <c:pt idx="1">
                  <c:v>-1.8</c:v>
                </c:pt>
                <c:pt idx="2">
                  <c:v>-1.6</c:v>
                </c:pt>
                <c:pt idx="3">
                  <c:v>-1.4</c:v>
                </c:pt>
                <c:pt idx="4">
                  <c:v>-1.2</c:v>
                </c:pt>
                <c:pt idx="5">
                  <c:v>-1</c:v>
                </c:pt>
                <c:pt idx="6">
                  <c:v>-0.8</c:v>
                </c:pt>
                <c:pt idx="7">
                  <c:v>-0.6</c:v>
                </c:pt>
                <c:pt idx="8">
                  <c:v>-0.4</c:v>
                </c:pt>
                <c:pt idx="9">
                  <c:v>-0.2</c:v>
                </c:pt>
                <c:pt idx="10">
                  <c:v>0</c:v>
                </c:pt>
                <c:pt idx="11">
                  <c:v>0.2</c:v>
                </c:pt>
                <c:pt idx="12">
                  <c:v>0.4</c:v>
                </c:pt>
                <c:pt idx="13">
                  <c:v>0.6</c:v>
                </c:pt>
                <c:pt idx="14">
                  <c:v>0.8</c:v>
                </c:pt>
                <c:pt idx="15">
                  <c:v>1</c:v>
                </c:pt>
                <c:pt idx="16">
                  <c:v>1.2</c:v>
                </c:pt>
                <c:pt idx="17">
                  <c:v>1.4</c:v>
                </c:pt>
                <c:pt idx="18">
                  <c:v>1.6</c:v>
                </c:pt>
                <c:pt idx="19">
                  <c:v>1.8</c:v>
                </c:pt>
                <c:pt idx="20">
                  <c:v>2</c:v>
                </c:pt>
                <c:pt idx="21">
                  <c:v>2.2000000000000002</c:v>
                </c:pt>
                <c:pt idx="22">
                  <c:v>2.4</c:v>
                </c:pt>
              </c:numCache>
            </c:numRef>
          </c:xVal>
          <c:yVal>
            <c:numRef>
              <c:f>Vidal!$B$8:$B$30</c:f>
              <c:numCache>
                <c:formatCode>0.00</c:formatCode>
                <c:ptCount val="23"/>
                <c:pt idx="0">
                  <c:v>2.2160000000000002</c:v>
                </c:pt>
                <c:pt idx="1">
                  <c:v>2.1297200000000003</c:v>
                </c:pt>
                <c:pt idx="2">
                  <c:v>2.0476800000000002</c:v>
                </c:pt>
                <c:pt idx="3">
                  <c:v>1.9698800000000001</c:v>
                </c:pt>
                <c:pt idx="4">
                  <c:v>1.89632</c:v>
                </c:pt>
                <c:pt idx="5">
                  <c:v>1.827</c:v>
                </c:pt>
                <c:pt idx="6">
                  <c:v>1.7619199999999999</c:v>
                </c:pt>
                <c:pt idx="7">
                  <c:v>1.7010799999999999</c:v>
                </c:pt>
                <c:pt idx="8">
                  <c:v>1.6444800000000002</c:v>
                </c:pt>
                <c:pt idx="9">
                  <c:v>1.59212</c:v>
                </c:pt>
                <c:pt idx="10">
                  <c:v>1.544</c:v>
                </c:pt>
                <c:pt idx="11">
                  <c:v>1.5001199999999999</c:v>
                </c:pt>
                <c:pt idx="12">
                  <c:v>1.46048</c:v>
                </c:pt>
                <c:pt idx="13">
                  <c:v>1.4250800000000001</c:v>
                </c:pt>
                <c:pt idx="14">
                  <c:v>1.39392</c:v>
                </c:pt>
                <c:pt idx="15">
                  <c:v>1.367</c:v>
                </c:pt>
                <c:pt idx="16">
                  <c:v>1.34432</c:v>
                </c:pt>
                <c:pt idx="17">
                  <c:v>1.3258799999999999</c:v>
                </c:pt>
                <c:pt idx="18">
                  <c:v>1.31168</c:v>
                </c:pt>
                <c:pt idx="19">
                  <c:v>1.30172</c:v>
                </c:pt>
                <c:pt idx="20">
                  <c:v>1.296</c:v>
                </c:pt>
                <c:pt idx="21">
                  <c:v>1.2945199999999999</c:v>
                </c:pt>
                <c:pt idx="22">
                  <c:v>1.29728</c:v>
                </c:pt>
              </c:numCache>
            </c:numRef>
          </c:yVal>
          <c:smooth val="1"/>
        </c:ser>
        <c:dLbls>
          <c:showLegendKey val="0"/>
          <c:showVal val="0"/>
          <c:showCatName val="0"/>
          <c:showSerName val="0"/>
          <c:showPercent val="0"/>
          <c:showBubbleSize val="0"/>
        </c:dLbls>
        <c:axId val="148992768"/>
        <c:axId val="148994688"/>
      </c:scatterChart>
      <c:valAx>
        <c:axId val="148992768"/>
        <c:scaling>
          <c:orientation val="minMax"/>
          <c:max val="3"/>
          <c:min val="-3"/>
        </c:scaling>
        <c:delete val="0"/>
        <c:axPos val="b"/>
        <c:majorGridlines/>
        <c:title>
          <c:tx>
            <c:rich>
              <a:bodyPr/>
              <a:lstStyle/>
              <a:p>
                <a:pPr>
                  <a:defRPr/>
                </a:pPr>
                <a:r>
                  <a:rPr lang="fr-FR"/>
                  <a:t>Rc/D50</a:t>
                </a:r>
              </a:p>
            </c:rich>
          </c:tx>
          <c:overlay val="0"/>
        </c:title>
        <c:numFmt formatCode="General" sourceLinked="1"/>
        <c:majorTickMark val="out"/>
        <c:minorTickMark val="none"/>
        <c:tickLblPos val="nextTo"/>
        <c:crossAx val="148994688"/>
        <c:crosses val="autoZero"/>
        <c:crossBetween val="midCat"/>
      </c:valAx>
      <c:valAx>
        <c:axId val="148994688"/>
        <c:scaling>
          <c:orientation val="minMax"/>
          <c:max val="3"/>
          <c:min val="0"/>
        </c:scaling>
        <c:delete val="0"/>
        <c:axPos val="l"/>
        <c:majorGridlines/>
        <c:title>
          <c:tx>
            <c:rich>
              <a:bodyPr rot="-5400000" vert="horz"/>
              <a:lstStyle/>
              <a:p>
                <a:pPr>
                  <a:defRPr/>
                </a:pPr>
                <a:r>
                  <a:rPr lang="en-US"/>
                  <a:t>Hs/</a:t>
                </a:r>
                <a:r>
                  <a:rPr lang="el-GR"/>
                  <a:t>Δ</a:t>
                </a:r>
                <a:r>
                  <a:rPr lang="en-US"/>
                  <a:t>D50</a:t>
                </a:r>
              </a:p>
            </c:rich>
          </c:tx>
          <c:overlay val="0"/>
        </c:title>
        <c:numFmt formatCode="0.00" sourceLinked="1"/>
        <c:majorTickMark val="none"/>
        <c:minorTickMark val="none"/>
        <c:tickLblPos val="nextTo"/>
        <c:crossAx val="148992768"/>
        <c:crossesAt val="-3"/>
        <c:crossBetween val="midCat"/>
        <c:majorUnit val="0.5"/>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Stable submerged BW</a:t>
            </a:r>
          </a:p>
        </c:rich>
      </c:tx>
      <c:overlay val="0"/>
    </c:title>
    <c:autoTitleDeleted val="0"/>
    <c:plotArea>
      <c:layout/>
      <c:scatterChart>
        <c:scatterStyle val="smoothMarker"/>
        <c:varyColors val="0"/>
        <c:ser>
          <c:idx val="2"/>
          <c:order val="0"/>
          <c:tx>
            <c:v>D50 = 0.25 m</c:v>
          </c:tx>
          <c:marker>
            <c:symbol val="none"/>
          </c:marker>
          <c:xVal>
            <c:numRef>
              <c:f>Vidal!$B$38:$B$60</c:f>
              <c:numCache>
                <c:formatCode>0.00</c:formatCode>
                <c:ptCount val="23"/>
                <c:pt idx="0">
                  <c:v>0.8753200000000001</c:v>
                </c:pt>
                <c:pt idx="1">
                  <c:v>0.84123940000000019</c:v>
                </c:pt>
                <c:pt idx="2">
                  <c:v>0.80883360000000015</c:v>
                </c:pt>
                <c:pt idx="3">
                  <c:v>0.77810260000000009</c:v>
                </c:pt>
                <c:pt idx="4">
                  <c:v>0.7490464</c:v>
                </c:pt>
                <c:pt idx="5">
                  <c:v>0.721665</c:v>
                </c:pt>
                <c:pt idx="6">
                  <c:v>0.69595839999999998</c:v>
                </c:pt>
                <c:pt idx="7">
                  <c:v>0.67192660000000004</c:v>
                </c:pt>
                <c:pt idx="8">
                  <c:v>0.64956960000000008</c:v>
                </c:pt>
                <c:pt idx="9">
                  <c:v>0.62888739999999999</c:v>
                </c:pt>
                <c:pt idx="10">
                  <c:v>0.60988000000000009</c:v>
                </c:pt>
                <c:pt idx="11">
                  <c:v>0.59254739999999995</c:v>
                </c:pt>
                <c:pt idx="12">
                  <c:v>0.5768896</c:v>
                </c:pt>
                <c:pt idx="13">
                  <c:v>0.56290660000000003</c:v>
                </c:pt>
                <c:pt idx="14">
                  <c:v>0.55059840000000004</c:v>
                </c:pt>
                <c:pt idx="15">
                  <c:v>0.53996500000000003</c:v>
                </c:pt>
                <c:pt idx="16">
                  <c:v>0.53100639999999999</c:v>
                </c:pt>
                <c:pt idx="17">
                  <c:v>0.52372260000000004</c:v>
                </c:pt>
                <c:pt idx="18">
                  <c:v>0.51811359999999995</c:v>
                </c:pt>
                <c:pt idx="19">
                  <c:v>0.51417940000000006</c:v>
                </c:pt>
                <c:pt idx="20">
                  <c:v>0.51192000000000004</c:v>
                </c:pt>
                <c:pt idx="21">
                  <c:v>0.5113354</c:v>
                </c:pt>
                <c:pt idx="22">
                  <c:v>0.51242560000000004</c:v>
                </c:pt>
              </c:numCache>
            </c:numRef>
          </c:xVal>
          <c:yVal>
            <c:numRef>
              <c:f>Vidal!$A$38:$A$60</c:f>
              <c:numCache>
                <c:formatCode>0.00</c:formatCode>
                <c:ptCount val="23"/>
                <c:pt idx="0">
                  <c:v>-0.5</c:v>
                </c:pt>
                <c:pt idx="1">
                  <c:v>-0.45</c:v>
                </c:pt>
                <c:pt idx="2">
                  <c:v>-0.4</c:v>
                </c:pt>
                <c:pt idx="3">
                  <c:v>-0.35</c:v>
                </c:pt>
                <c:pt idx="4">
                  <c:v>-0.3</c:v>
                </c:pt>
                <c:pt idx="5">
                  <c:v>-0.25</c:v>
                </c:pt>
                <c:pt idx="6">
                  <c:v>-0.2</c:v>
                </c:pt>
                <c:pt idx="7">
                  <c:v>-0.15</c:v>
                </c:pt>
                <c:pt idx="8">
                  <c:v>-0.1</c:v>
                </c:pt>
                <c:pt idx="9">
                  <c:v>-0.05</c:v>
                </c:pt>
                <c:pt idx="10">
                  <c:v>0</c:v>
                </c:pt>
                <c:pt idx="11">
                  <c:v>0.05</c:v>
                </c:pt>
                <c:pt idx="12">
                  <c:v>0.1</c:v>
                </c:pt>
                <c:pt idx="13">
                  <c:v>0.15</c:v>
                </c:pt>
                <c:pt idx="14">
                  <c:v>0.2</c:v>
                </c:pt>
                <c:pt idx="15">
                  <c:v>0.25</c:v>
                </c:pt>
                <c:pt idx="16">
                  <c:v>0.3</c:v>
                </c:pt>
                <c:pt idx="17">
                  <c:v>0.35</c:v>
                </c:pt>
                <c:pt idx="18">
                  <c:v>0.4</c:v>
                </c:pt>
                <c:pt idx="19">
                  <c:v>0.45</c:v>
                </c:pt>
                <c:pt idx="20">
                  <c:v>0.5</c:v>
                </c:pt>
                <c:pt idx="21">
                  <c:v>0.55000000000000004</c:v>
                </c:pt>
                <c:pt idx="22">
                  <c:v>0.6</c:v>
                </c:pt>
              </c:numCache>
            </c:numRef>
          </c:yVal>
          <c:smooth val="1"/>
        </c:ser>
        <c:ser>
          <c:idx val="0"/>
          <c:order val="1"/>
          <c:tx>
            <c:v>D50 = 0.50 m</c:v>
          </c:tx>
          <c:marker>
            <c:symbol val="none"/>
          </c:marker>
          <c:trendline>
            <c:trendlineType val="power"/>
            <c:dispRSqr val="0"/>
            <c:dispEq val="0"/>
          </c:trendline>
          <c:xVal>
            <c:numRef>
              <c:f>Vidal!$D$38:$D$60</c:f>
              <c:numCache>
                <c:formatCode>0.00</c:formatCode>
                <c:ptCount val="23"/>
                <c:pt idx="0">
                  <c:v>1.7506400000000002</c:v>
                </c:pt>
                <c:pt idx="1">
                  <c:v>1.6824788000000004</c:v>
                </c:pt>
                <c:pt idx="2">
                  <c:v>1.6176672000000003</c:v>
                </c:pt>
                <c:pt idx="3">
                  <c:v>1.5562052000000002</c:v>
                </c:pt>
                <c:pt idx="4">
                  <c:v>1.4980928</c:v>
                </c:pt>
                <c:pt idx="5">
                  <c:v>1.44333</c:v>
                </c:pt>
                <c:pt idx="6">
                  <c:v>1.3919168</c:v>
                </c:pt>
                <c:pt idx="7">
                  <c:v>1.3438532000000001</c:v>
                </c:pt>
                <c:pt idx="8">
                  <c:v>1.2991392000000002</c:v>
                </c:pt>
                <c:pt idx="9">
                  <c:v>1.2577748</c:v>
                </c:pt>
                <c:pt idx="10">
                  <c:v>1.2197600000000002</c:v>
                </c:pt>
                <c:pt idx="11">
                  <c:v>1.1850947999999999</c:v>
                </c:pt>
                <c:pt idx="12">
                  <c:v>1.1537792</c:v>
                </c:pt>
                <c:pt idx="13">
                  <c:v>1.1258132000000001</c:v>
                </c:pt>
                <c:pt idx="14">
                  <c:v>1.1011968000000001</c:v>
                </c:pt>
                <c:pt idx="15">
                  <c:v>1.0799300000000001</c:v>
                </c:pt>
                <c:pt idx="16">
                  <c:v>1.0620128</c:v>
                </c:pt>
                <c:pt idx="17">
                  <c:v>1.0474452000000001</c:v>
                </c:pt>
                <c:pt idx="18">
                  <c:v>1.0362271999999999</c:v>
                </c:pt>
                <c:pt idx="19">
                  <c:v>1.0283588000000001</c:v>
                </c:pt>
                <c:pt idx="20">
                  <c:v>1.0238400000000001</c:v>
                </c:pt>
                <c:pt idx="21">
                  <c:v>1.0226708</c:v>
                </c:pt>
                <c:pt idx="22">
                  <c:v>1.0248512000000001</c:v>
                </c:pt>
              </c:numCache>
            </c:numRef>
          </c:xVal>
          <c:yVal>
            <c:numRef>
              <c:f>Vidal!$C$38:$C$60</c:f>
              <c:numCache>
                <c:formatCode>0.00</c:formatCode>
                <c:ptCount val="23"/>
                <c:pt idx="0">
                  <c:v>-1</c:v>
                </c:pt>
                <c:pt idx="1">
                  <c:v>-0.9</c:v>
                </c:pt>
                <c:pt idx="2">
                  <c:v>-0.8</c:v>
                </c:pt>
                <c:pt idx="3">
                  <c:v>-0.7</c:v>
                </c:pt>
                <c:pt idx="4">
                  <c:v>-0.6</c:v>
                </c:pt>
                <c:pt idx="5">
                  <c:v>-0.5</c:v>
                </c:pt>
                <c:pt idx="6">
                  <c:v>-0.4</c:v>
                </c:pt>
                <c:pt idx="7">
                  <c:v>-0.3</c:v>
                </c:pt>
                <c:pt idx="8">
                  <c:v>-0.2</c:v>
                </c:pt>
                <c:pt idx="9">
                  <c:v>-0.1</c:v>
                </c:pt>
                <c:pt idx="10">
                  <c:v>0</c:v>
                </c:pt>
                <c:pt idx="11">
                  <c:v>0.1</c:v>
                </c:pt>
                <c:pt idx="12">
                  <c:v>0.2</c:v>
                </c:pt>
                <c:pt idx="13">
                  <c:v>0.3</c:v>
                </c:pt>
                <c:pt idx="14">
                  <c:v>0.4</c:v>
                </c:pt>
                <c:pt idx="15">
                  <c:v>0.5</c:v>
                </c:pt>
                <c:pt idx="16">
                  <c:v>0.6</c:v>
                </c:pt>
                <c:pt idx="17">
                  <c:v>0.7</c:v>
                </c:pt>
                <c:pt idx="18">
                  <c:v>0.8</c:v>
                </c:pt>
                <c:pt idx="19">
                  <c:v>0.9</c:v>
                </c:pt>
                <c:pt idx="20">
                  <c:v>1</c:v>
                </c:pt>
                <c:pt idx="21">
                  <c:v>1.1000000000000001</c:v>
                </c:pt>
                <c:pt idx="22">
                  <c:v>1.2</c:v>
                </c:pt>
              </c:numCache>
            </c:numRef>
          </c:yVal>
          <c:smooth val="1"/>
        </c:ser>
        <c:ser>
          <c:idx val="1"/>
          <c:order val="2"/>
          <c:tx>
            <c:v>D50 = 1.00 m</c:v>
          </c:tx>
          <c:marker>
            <c:symbol val="none"/>
          </c:marker>
          <c:xVal>
            <c:numRef>
              <c:f>Vidal!$F$38:$F$60</c:f>
              <c:numCache>
                <c:formatCode>0.00</c:formatCode>
                <c:ptCount val="23"/>
                <c:pt idx="0">
                  <c:v>3.5012800000000004</c:v>
                </c:pt>
                <c:pt idx="1">
                  <c:v>3.3649576000000008</c:v>
                </c:pt>
                <c:pt idx="2">
                  <c:v>3.2353344000000006</c:v>
                </c:pt>
                <c:pt idx="3">
                  <c:v>3.1124104000000004</c:v>
                </c:pt>
                <c:pt idx="4">
                  <c:v>2.9961856</c:v>
                </c:pt>
                <c:pt idx="5">
                  <c:v>2.88666</c:v>
                </c:pt>
                <c:pt idx="6">
                  <c:v>2.7838335999999999</c:v>
                </c:pt>
                <c:pt idx="7">
                  <c:v>2.6877064000000002</c:v>
                </c:pt>
                <c:pt idx="8">
                  <c:v>2.5982784000000003</c:v>
                </c:pt>
                <c:pt idx="9">
                  <c:v>2.5155495999999999</c:v>
                </c:pt>
                <c:pt idx="10">
                  <c:v>2.4395200000000004</c:v>
                </c:pt>
                <c:pt idx="11">
                  <c:v>2.3701895999999998</c:v>
                </c:pt>
                <c:pt idx="12">
                  <c:v>2.3075584</c:v>
                </c:pt>
                <c:pt idx="13">
                  <c:v>2.2516264000000001</c:v>
                </c:pt>
                <c:pt idx="14">
                  <c:v>2.2023936000000002</c:v>
                </c:pt>
                <c:pt idx="15">
                  <c:v>2.1598600000000001</c:v>
                </c:pt>
                <c:pt idx="16">
                  <c:v>2.1240256</c:v>
                </c:pt>
                <c:pt idx="17">
                  <c:v>2.0948904000000002</c:v>
                </c:pt>
                <c:pt idx="18">
                  <c:v>2.0724543999999998</c:v>
                </c:pt>
                <c:pt idx="19">
                  <c:v>2.0567176000000003</c:v>
                </c:pt>
                <c:pt idx="20">
                  <c:v>2.0476800000000002</c:v>
                </c:pt>
                <c:pt idx="21">
                  <c:v>2.0453416</c:v>
                </c:pt>
                <c:pt idx="22">
                  <c:v>2.0497024000000001</c:v>
                </c:pt>
              </c:numCache>
            </c:numRef>
          </c:xVal>
          <c:yVal>
            <c:numRef>
              <c:f>Vidal!$E$38:$E$60</c:f>
              <c:numCache>
                <c:formatCode>0.00</c:formatCode>
                <c:ptCount val="23"/>
                <c:pt idx="0">
                  <c:v>-2</c:v>
                </c:pt>
                <c:pt idx="1">
                  <c:v>-1.8</c:v>
                </c:pt>
                <c:pt idx="2">
                  <c:v>-1.6</c:v>
                </c:pt>
                <c:pt idx="3">
                  <c:v>-1.4</c:v>
                </c:pt>
                <c:pt idx="4">
                  <c:v>-1.2</c:v>
                </c:pt>
                <c:pt idx="5">
                  <c:v>-1</c:v>
                </c:pt>
                <c:pt idx="6">
                  <c:v>-0.8</c:v>
                </c:pt>
                <c:pt idx="7">
                  <c:v>-0.6</c:v>
                </c:pt>
                <c:pt idx="8">
                  <c:v>-0.4</c:v>
                </c:pt>
                <c:pt idx="9">
                  <c:v>-0.2</c:v>
                </c:pt>
                <c:pt idx="10">
                  <c:v>0</c:v>
                </c:pt>
                <c:pt idx="11">
                  <c:v>0.2</c:v>
                </c:pt>
                <c:pt idx="12">
                  <c:v>0.4</c:v>
                </c:pt>
                <c:pt idx="13">
                  <c:v>0.6</c:v>
                </c:pt>
                <c:pt idx="14">
                  <c:v>0.8</c:v>
                </c:pt>
                <c:pt idx="15">
                  <c:v>1</c:v>
                </c:pt>
                <c:pt idx="16">
                  <c:v>1.2</c:v>
                </c:pt>
                <c:pt idx="17">
                  <c:v>1.4</c:v>
                </c:pt>
                <c:pt idx="18">
                  <c:v>1.6</c:v>
                </c:pt>
                <c:pt idx="19">
                  <c:v>1.8</c:v>
                </c:pt>
                <c:pt idx="20">
                  <c:v>2</c:v>
                </c:pt>
                <c:pt idx="21">
                  <c:v>2.2000000000000002</c:v>
                </c:pt>
                <c:pt idx="22">
                  <c:v>2.4</c:v>
                </c:pt>
              </c:numCache>
            </c:numRef>
          </c:yVal>
          <c:smooth val="1"/>
        </c:ser>
        <c:dLbls>
          <c:showLegendKey val="0"/>
          <c:showVal val="0"/>
          <c:showCatName val="0"/>
          <c:showSerName val="0"/>
          <c:showPercent val="0"/>
          <c:showBubbleSize val="0"/>
        </c:dLbls>
        <c:axId val="149054208"/>
        <c:axId val="149056128"/>
      </c:scatterChart>
      <c:valAx>
        <c:axId val="149054208"/>
        <c:scaling>
          <c:orientation val="minMax"/>
        </c:scaling>
        <c:delete val="0"/>
        <c:axPos val="b"/>
        <c:majorGridlines/>
        <c:title>
          <c:tx>
            <c:rich>
              <a:bodyPr/>
              <a:lstStyle/>
              <a:p>
                <a:pPr>
                  <a:defRPr/>
                </a:pPr>
                <a:r>
                  <a:rPr lang="fr-FR" baseline="0"/>
                  <a:t>Hs (m)</a:t>
                </a:r>
                <a:endParaRPr lang="fr-FR"/>
              </a:p>
            </c:rich>
          </c:tx>
          <c:overlay val="0"/>
        </c:title>
        <c:numFmt formatCode="0" sourceLinked="0"/>
        <c:majorTickMark val="out"/>
        <c:minorTickMark val="none"/>
        <c:tickLblPos val="nextTo"/>
        <c:crossAx val="149056128"/>
        <c:crossesAt val="-4"/>
        <c:crossBetween val="midCat"/>
      </c:valAx>
      <c:valAx>
        <c:axId val="149056128"/>
        <c:scaling>
          <c:orientation val="minMax"/>
        </c:scaling>
        <c:delete val="0"/>
        <c:axPos val="l"/>
        <c:majorGridlines/>
        <c:title>
          <c:tx>
            <c:rich>
              <a:bodyPr rot="-5400000" vert="horz"/>
              <a:lstStyle/>
              <a:p>
                <a:pPr>
                  <a:defRPr/>
                </a:pPr>
                <a:r>
                  <a:rPr lang="en-US" baseline="0"/>
                  <a:t>Rc (m)</a:t>
                </a:r>
                <a:endParaRPr lang="en-US"/>
              </a:p>
            </c:rich>
          </c:tx>
          <c:overlay val="0"/>
        </c:title>
        <c:numFmt formatCode="0" sourceLinked="0"/>
        <c:majorTickMark val="out"/>
        <c:minorTickMark val="none"/>
        <c:tickLblPos val="nextTo"/>
        <c:crossAx val="149054208"/>
        <c:crossesAt val="-3"/>
        <c:crossBetween val="midCat"/>
        <c:majorUnit val="1"/>
      </c:valAx>
    </c:plotArea>
    <c:legend>
      <c:legendPos val="b"/>
      <c:legendEntry>
        <c:idx val="3"/>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smoothMarker"/>
        <c:varyColors val="0"/>
        <c:ser>
          <c:idx val="0"/>
          <c:order val="0"/>
          <c:tx>
            <c:v>Vidal, 1995</c:v>
          </c:tx>
          <c:marker>
            <c:symbol val="none"/>
          </c:marker>
          <c:trendline>
            <c:trendlineType val="power"/>
            <c:dispRSqr val="0"/>
            <c:dispEq val="0"/>
          </c:trendline>
          <c:xVal>
            <c:numRef>
              <c:f>Vidal!$B$8:$B$30</c:f>
              <c:numCache>
                <c:formatCode>0.00</c:formatCode>
                <c:ptCount val="23"/>
                <c:pt idx="0">
                  <c:v>2.2160000000000002</c:v>
                </c:pt>
                <c:pt idx="1">
                  <c:v>2.1297200000000003</c:v>
                </c:pt>
                <c:pt idx="2">
                  <c:v>2.0476800000000002</c:v>
                </c:pt>
                <c:pt idx="3">
                  <c:v>1.9698800000000001</c:v>
                </c:pt>
                <c:pt idx="4">
                  <c:v>1.89632</c:v>
                </c:pt>
                <c:pt idx="5">
                  <c:v>1.827</c:v>
                </c:pt>
                <c:pt idx="6">
                  <c:v>1.7619199999999999</c:v>
                </c:pt>
                <c:pt idx="7">
                  <c:v>1.7010799999999999</c:v>
                </c:pt>
                <c:pt idx="8">
                  <c:v>1.6444800000000002</c:v>
                </c:pt>
                <c:pt idx="9">
                  <c:v>1.59212</c:v>
                </c:pt>
                <c:pt idx="10">
                  <c:v>1.544</c:v>
                </c:pt>
                <c:pt idx="11">
                  <c:v>1.5001199999999999</c:v>
                </c:pt>
                <c:pt idx="12">
                  <c:v>1.46048</c:v>
                </c:pt>
                <c:pt idx="13">
                  <c:v>1.4250800000000001</c:v>
                </c:pt>
                <c:pt idx="14">
                  <c:v>1.39392</c:v>
                </c:pt>
                <c:pt idx="15">
                  <c:v>1.367</c:v>
                </c:pt>
                <c:pt idx="16">
                  <c:v>1.34432</c:v>
                </c:pt>
                <c:pt idx="17">
                  <c:v>1.3258799999999999</c:v>
                </c:pt>
                <c:pt idx="18">
                  <c:v>1.31168</c:v>
                </c:pt>
                <c:pt idx="19">
                  <c:v>1.30172</c:v>
                </c:pt>
                <c:pt idx="20">
                  <c:v>1.296</c:v>
                </c:pt>
                <c:pt idx="21">
                  <c:v>1.2945199999999999</c:v>
                </c:pt>
                <c:pt idx="22">
                  <c:v>1.29728</c:v>
                </c:pt>
              </c:numCache>
            </c:numRef>
          </c:xVal>
          <c:yVal>
            <c:numRef>
              <c:f>Vidal!$A$8:$A$30</c:f>
              <c:numCache>
                <c:formatCode>General</c:formatCode>
                <c:ptCount val="23"/>
                <c:pt idx="0">
                  <c:v>-2</c:v>
                </c:pt>
                <c:pt idx="1">
                  <c:v>-1.8</c:v>
                </c:pt>
                <c:pt idx="2">
                  <c:v>-1.6</c:v>
                </c:pt>
                <c:pt idx="3">
                  <c:v>-1.4</c:v>
                </c:pt>
                <c:pt idx="4">
                  <c:v>-1.2</c:v>
                </c:pt>
                <c:pt idx="5">
                  <c:v>-1</c:v>
                </c:pt>
                <c:pt idx="6">
                  <c:v>-0.8</c:v>
                </c:pt>
                <c:pt idx="7">
                  <c:v>-0.6</c:v>
                </c:pt>
                <c:pt idx="8">
                  <c:v>-0.4</c:v>
                </c:pt>
                <c:pt idx="9">
                  <c:v>-0.2</c:v>
                </c:pt>
                <c:pt idx="10">
                  <c:v>0</c:v>
                </c:pt>
                <c:pt idx="11">
                  <c:v>0.2</c:v>
                </c:pt>
                <c:pt idx="12">
                  <c:v>0.4</c:v>
                </c:pt>
                <c:pt idx="13">
                  <c:v>0.6</c:v>
                </c:pt>
                <c:pt idx="14">
                  <c:v>0.8</c:v>
                </c:pt>
                <c:pt idx="15">
                  <c:v>1</c:v>
                </c:pt>
                <c:pt idx="16">
                  <c:v>1.2</c:v>
                </c:pt>
                <c:pt idx="17">
                  <c:v>1.4</c:v>
                </c:pt>
                <c:pt idx="18">
                  <c:v>1.6</c:v>
                </c:pt>
                <c:pt idx="19">
                  <c:v>1.8</c:v>
                </c:pt>
                <c:pt idx="20">
                  <c:v>2</c:v>
                </c:pt>
                <c:pt idx="21">
                  <c:v>2.2000000000000002</c:v>
                </c:pt>
                <c:pt idx="22">
                  <c:v>2.4</c:v>
                </c:pt>
              </c:numCache>
            </c:numRef>
          </c:yVal>
          <c:smooth val="1"/>
        </c:ser>
        <c:ser>
          <c:idx val="1"/>
          <c:order val="1"/>
          <c:tx>
            <c:v>Arhens, 1987</c:v>
          </c:tx>
          <c:spPr>
            <a:ln>
              <a:noFill/>
            </a:ln>
          </c:spPr>
          <c:marker>
            <c:symbol val="triangle"/>
            <c:size val="5"/>
            <c:spPr>
              <a:solidFill>
                <a:srgbClr val="0070C0"/>
              </a:solidFill>
              <a:ln>
                <a:solidFill>
                  <a:srgbClr val="0070C0"/>
                </a:solidFill>
              </a:ln>
            </c:spPr>
          </c:marker>
          <c:xVal>
            <c:numRef>
              <c:f>Ahrens!$B$39:$E$39</c:f>
              <c:numCache>
                <c:formatCode>0.00</c:formatCode>
                <c:ptCount val="4"/>
                <c:pt idx="0">
                  <c:v>5.1970305967020867</c:v>
                </c:pt>
                <c:pt idx="1">
                  <c:v>5.2167911693131215</c:v>
                </c:pt>
                <c:pt idx="2">
                  <c:v>5.200324025470592</c:v>
                </c:pt>
                <c:pt idx="3">
                  <c:v>3.8178414969283803</c:v>
                </c:pt>
              </c:numCache>
            </c:numRef>
          </c:xVal>
          <c:yVal>
            <c:numRef>
              <c:f>Ahrens!$B$37:$E$37</c:f>
              <c:numCache>
                <c:formatCode>0.00</c:formatCode>
                <c:ptCount val="4"/>
                <c:pt idx="0">
                  <c:v>-4.3053676919168371</c:v>
                </c:pt>
                <c:pt idx="1">
                  <c:v>-3.7524339359724053</c:v>
                </c:pt>
                <c:pt idx="2">
                  <c:v>-2.8022468019708091</c:v>
                </c:pt>
                <c:pt idx="3">
                  <c:v>-0.21770843945914414</c:v>
                </c:pt>
              </c:numCache>
            </c:numRef>
          </c:yVal>
          <c:smooth val="1"/>
        </c:ser>
        <c:ser>
          <c:idx val="2"/>
          <c:order val="2"/>
          <c:tx>
            <c:v>Rosslyn, 1977</c:v>
          </c:tx>
          <c:spPr>
            <a:ln>
              <a:noFill/>
            </a:ln>
          </c:spPr>
          <c:marker>
            <c:symbol val="circle"/>
            <c:size val="5"/>
            <c:spPr>
              <a:solidFill>
                <a:srgbClr val="0070C0"/>
              </a:solidFill>
            </c:spPr>
          </c:marker>
          <c:xVal>
            <c:numRef>
              <c:f>Foster!$C$23</c:f>
              <c:numCache>
                <c:formatCode>0\.0</c:formatCode>
                <c:ptCount val="1"/>
                <c:pt idx="0">
                  <c:v>4.8101265822784809</c:v>
                </c:pt>
              </c:numCache>
            </c:numRef>
          </c:xVal>
          <c:yVal>
            <c:numRef>
              <c:f>Foster!$C$21</c:f>
              <c:numCache>
                <c:formatCode>General</c:formatCode>
                <c:ptCount val="1"/>
                <c:pt idx="0">
                  <c:v>-5.2</c:v>
                </c:pt>
              </c:numCache>
            </c:numRef>
          </c:yVal>
          <c:smooth val="1"/>
        </c:ser>
        <c:dLbls>
          <c:showLegendKey val="0"/>
          <c:showVal val="0"/>
          <c:showCatName val="0"/>
          <c:showSerName val="0"/>
          <c:showPercent val="0"/>
          <c:showBubbleSize val="0"/>
        </c:dLbls>
        <c:axId val="149356544"/>
        <c:axId val="149358848"/>
      </c:scatterChart>
      <c:valAx>
        <c:axId val="149356544"/>
        <c:scaling>
          <c:orientation val="minMax"/>
          <c:max val="6"/>
          <c:min val="1"/>
        </c:scaling>
        <c:delete val="0"/>
        <c:axPos val="b"/>
        <c:majorGridlines/>
        <c:title>
          <c:tx>
            <c:rich>
              <a:bodyPr/>
              <a:lstStyle/>
              <a:p>
                <a:pPr>
                  <a:defRPr sz="1000"/>
                </a:pPr>
                <a:r>
                  <a:rPr lang="en-US" sz="1000" b="1" i="0" baseline="0">
                    <a:effectLst/>
                  </a:rPr>
                  <a:t>Hs/</a:t>
                </a:r>
                <a:r>
                  <a:rPr lang="el-GR" sz="1000" b="1" i="0" baseline="0">
                    <a:effectLst/>
                  </a:rPr>
                  <a:t>Δ</a:t>
                </a:r>
                <a:r>
                  <a:rPr lang="en-US" sz="1000" b="1" i="0" baseline="0">
                    <a:effectLst/>
                  </a:rPr>
                  <a:t>D50</a:t>
                </a:r>
                <a:endParaRPr lang="fr-FR" sz="1000">
                  <a:effectLst/>
                </a:endParaRPr>
              </a:p>
            </c:rich>
          </c:tx>
          <c:overlay val="0"/>
        </c:title>
        <c:numFmt formatCode="0.0" sourceLinked="0"/>
        <c:majorTickMark val="out"/>
        <c:minorTickMark val="none"/>
        <c:tickLblPos val="nextTo"/>
        <c:crossAx val="149358848"/>
        <c:crossesAt val="-10"/>
        <c:crossBetween val="midCat"/>
      </c:valAx>
      <c:valAx>
        <c:axId val="149358848"/>
        <c:scaling>
          <c:orientation val="minMax"/>
          <c:max val="3"/>
          <c:min val="-10"/>
        </c:scaling>
        <c:delete val="0"/>
        <c:axPos val="l"/>
        <c:majorGridlines/>
        <c:title>
          <c:tx>
            <c:rich>
              <a:bodyPr rot="-5400000" vert="horz"/>
              <a:lstStyle/>
              <a:p>
                <a:pPr>
                  <a:defRPr/>
                </a:pPr>
                <a:r>
                  <a:rPr lang="en-US"/>
                  <a:t>Rc/D50</a:t>
                </a:r>
              </a:p>
            </c:rich>
          </c:tx>
          <c:overlay val="0"/>
        </c:title>
        <c:numFmt formatCode="General" sourceLinked="1"/>
        <c:majorTickMark val="none"/>
        <c:minorTickMark val="none"/>
        <c:tickLblPos val="nextTo"/>
        <c:crossAx val="149356544"/>
        <c:crossesAt val="1"/>
        <c:crossBetween val="midCat"/>
        <c:majorUnit val="2"/>
      </c:valAx>
    </c:plotArea>
    <c:legend>
      <c:legendPos val="r"/>
      <c:legendEntry>
        <c:idx val="3"/>
        <c:delete val="1"/>
      </c:legendEntry>
      <c:layout>
        <c:manualLayout>
          <c:xMode val="edge"/>
          <c:yMode val="edge"/>
          <c:x val="0.17244313210848647"/>
          <c:y val="0.50405365995917173"/>
          <c:w val="0.23787554680664916"/>
          <c:h val="0.25115157480314959"/>
        </c:manualLayout>
      </c:layout>
      <c:overlay val="1"/>
      <c:spPr>
        <a:solidFill>
          <a:schemeClr val="bg1"/>
        </a:solidFill>
        <a:ln>
          <a:solidFill>
            <a:srgbClr val="0070C0"/>
          </a:solidFill>
        </a:ln>
      </c:sp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Burcharth</a:t>
            </a:r>
          </a:p>
        </c:rich>
      </c:tx>
      <c:overlay val="0"/>
    </c:title>
    <c:autoTitleDeleted val="0"/>
    <c:plotArea>
      <c:layout/>
      <c:scatterChart>
        <c:scatterStyle val="lineMarker"/>
        <c:varyColors val="0"/>
        <c:ser>
          <c:idx val="0"/>
          <c:order val="0"/>
          <c:tx>
            <c:v>d+ = 2 m</c:v>
          </c:tx>
          <c:spPr>
            <a:ln w="28575">
              <a:noFill/>
            </a:ln>
          </c:spPr>
          <c:xVal>
            <c:numRef>
              <c:f>Burcharth!$F$76:$F$84</c:f>
              <c:numCache>
                <c:formatCode>0.00</c:formatCode>
                <c:ptCount val="9"/>
                <c:pt idx="2">
                  <c:v>0.78431979132042795</c:v>
                </c:pt>
                <c:pt idx="3">
                  <c:v>0.36966632437668684</c:v>
                </c:pt>
                <c:pt idx="4">
                  <c:v>1.365286466687426E-2</c:v>
                </c:pt>
                <c:pt idx="5">
                  <c:v>-0.20400618879659746</c:v>
                </c:pt>
                <c:pt idx="6">
                  <c:v>-0.36009781354644049</c:v>
                </c:pt>
              </c:numCache>
            </c:numRef>
          </c:xVal>
          <c:yVal>
            <c:numRef>
              <c:f>Burcharth!$A$76:$A$84</c:f>
              <c:numCache>
                <c:formatCode>General</c:formatCode>
                <c:ptCount val="9"/>
                <c:pt idx="0">
                  <c:v>0.2</c:v>
                </c:pt>
                <c:pt idx="1">
                  <c:v>0.3</c:v>
                </c:pt>
                <c:pt idx="2">
                  <c:v>0.4</c:v>
                </c:pt>
                <c:pt idx="3">
                  <c:v>0.5</c:v>
                </c:pt>
                <c:pt idx="4">
                  <c:v>0.55000000000000004</c:v>
                </c:pt>
                <c:pt idx="5">
                  <c:v>0.56999999999999995</c:v>
                </c:pt>
                <c:pt idx="6">
                  <c:v>0.57999999999999996</c:v>
                </c:pt>
                <c:pt idx="7">
                  <c:v>0.9</c:v>
                </c:pt>
                <c:pt idx="8">
                  <c:v>1</c:v>
                </c:pt>
              </c:numCache>
            </c:numRef>
          </c:yVal>
          <c:smooth val="0"/>
        </c:ser>
        <c:ser>
          <c:idx val="3"/>
          <c:order val="1"/>
          <c:tx>
            <c:v>d- = 2 m</c:v>
          </c:tx>
          <c:spPr>
            <a:ln w="28575">
              <a:noFill/>
            </a:ln>
          </c:spPr>
          <c:xVal>
            <c:numRef>
              <c:f>Burcharth!$J$76:$J$84</c:f>
              <c:numCache>
                <c:formatCode>0.00</c:formatCode>
                <c:ptCount val="9"/>
                <c:pt idx="3">
                  <c:v>-1.5779996577100202</c:v>
                </c:pt>
                <c:pt idx="4">
                  <c:v>-1.3428195313335414</c:v>
                </c:pt>
                <c:pt idx="5">
                  <c:v>-1.1734938112034023</c:v>
                </c:pt>
                <c:pt idx="6">
                  <c:v>-1.0415688531202261</c:v>
                </c:pt>
              </c:numCache>
            </c:numRef>
          </c:xVal>
          <c:yVal>
            <c:numRef>
              <c:f>Burcharth!$A$76:$A$84</c:f>
              <c:numCache>
                <c:formatCode>General</c:formatCode>
                <c:ptCount val="9"/>
                <c:pt idx="0">
                  <c:v>0.2</c:v>
                </c:pt>
                <c:pt idx="1">
                  <c:v>0.3</c:v>
                </c:pt>
                <c:pt idx="2">
                  <c:v>0.4</c:v>
                </c:pt>
                <c:pt idx="3">
                  <c:v>0.5</c:v>
                </c:pt>
                <c:pt idx="4">
                  <c:v>0.55000000000000004</c:v>
                </c:pt>
                <c:pt idx="5">
                  <c:v>0.56999999999999995</c:v>
                </c:pt>
                <c:pt idx="6">
                  <c:v>0.57999999999999996</c:v>
                </c:pt>
                <c:pt idx="7">
                  <c:v>0.9</c:v>
                </c:pt>
                <c:pt idx="8">
                  <c:v>1</c:v>
                </c:pt>
              </c:numCache>
            </c:numRef>
          </c:yVal>
          <c:smooth val="0"/>
        </c:ser>
        <c:ser>
          <c:idx val="1"/>
          <c:order val="2"/>
          <c:tx>
            <c:v>d+ = 3 m</c:v>
          </c:tx>
          <c:spPr>
            <a:ln w="28575">
              <a:noFill/>
            </a:ln>
          </c:spPr>
          <c:xVal>
            <c:numRef>
              <c:f>Burcharth!$F$88:$F$97</c:f>
              <c:numCache>
                <c:formatCode>0.00</c:formatCode>
                <c:ptCount val="10"/>
                <c:pt idx="3">
                  <c:v>1.1764796869806415</c:v>
                </c:pt>
                <c:pt idx="4">
                  <c:v>0.8075774931435924</c:v>
                </c:pt>
                <c:pt idx="5">
                  <c:v>0.22822988859566104</c:v>
                </c:pt>
                <c:pt idx="6">
                  <c:v>-0.2423964486815999</c:v>
                </c:pt>
                <c:pt idx="7">
                  <c:v>-0.78474562522131186</c:v>
                </c:pt>
              </c:numCache>
            </c:numRef>
          </c:xVal>
          <c:yVal>
            <c:numRef>
              <c:f>Burcharth!$A$88:$A$97</c:f>
              <c:numCache>
                <c:formatCode>General</c:formatCode>
                <c:ptCount val="10"/>
                <c:pt idx="0">
                  <c:v>0.3</c:v>
                </c:pt>
                <c:pt idx="1">
                  <c:v>0.4</c:v>
                </c:pt>
                <c:pt idx="2">
                  <c:v>0.5</c:v>
                </c:pt>
                <c:pt idx="3">
                  <c:v>0.6</c:v>
                </c:pt>
                <c:pt idx="4">
                  <c:v>0.7</c:v>
                </c:pt>
                <c:pt idx="5">
                  <c:v>0.8</c:v>
                </c:pt>
                <c:pt idx="6">
                  <c:v>0.85</c:v>
                </c:pt>
                <c:pt idx="7">
                  <c:v>0.88</c:v>
                </c:pt>
                <c:pt idx="8">
                  <c:v>1.1000000000000001</c:v>
                </c:pt>
                <c:pt idx="9">
                  <c:v>1.2</c:v>
                </c:pt>
              </c:numCache>
            </c:numRef>
          </c:yVal>
          <c:smooth val="0"/>
        </c:ser>
        <c:ser>
          <c:idx val="4"/>
          <c:order val="3"/>
          <c:tx>
            <c:v>d- = 3 m</c:v>
          </c:tx>
          <c:spPr>
            <a:ln w="28575">
              <a:noFill/>
            </a:ln>
          </c:spPr>
          <c:marker>
            <c:symbol val="star"/>
            <c:size val="7"/>
            <c:spPr>
              <a:ln>
                <a:solidFill>
                  <a:srgbClr val="C00000"/>
                </a:solidFill>
              </a:ln>
            </c:spPr>
          </c:marker>
          <c:xVal>
            <c:numRef>
              <c:f>Burcharth!$J$88:$J$97</c:f>
              <c:numCache>
                <c:formatCode>0.00</c:formatCode>
                <c:ptCount val="10"/>
                <c:pt idx="4">
                  <c:v>-2.4992441598102588</c:v>
                </c:pt>
                <c:pt idx="5">
                  <c:v>-2.1615632219289944</c:v>
                </c:pt>
                <c:pt idx="6">
                  <c:v>-1.8117702179850668</c:v>
                </c:pt>
                <c:pt idx="7">
                  <c:v>-1.3419210414453548</c:v>
                </c:pt>
              </c:numCache>
            </c:numRef>
          </c:xVal>
          <c:yVal>
            <c:numRef>
              <c:f>Burcharth!$A$88:$A$97</c:f>
              <c:numCache>
                <c:formatCode>General</c:formatCode>
                <c:ptCount val="10"/>
                <c:pt idx="0">
                  <c:v>0.3</c:v>
                </c:pt>
                <c:pt idx="1">
                  <c:v>0.4</c:v>
                </c:pt>
                <c:pt idx="2">
                  <c:v>0.5</c:v>
                </c:pt>
                <c:pt idx="3">
                  <c:v>0.6</c:v>
                </c:pt>
                <c:pt idx="4">
                  <c:v>0.7</c:v>
                </c:pt>
                <c:pt idx="5">
                  <c:v>0.8</c:v>
                </c:pt>
                <c:pt idx="6">
                  <c:v>0.85</c:v>
                </c:pt>
                <c:pt idx="7">
                  <c:v>0.88</c:v>
                </c:pt>
                <c:pt idx="8">
                  <c:v>1.1000000000000001</c:v>
                </c:pt>
                <c:pt idx="9">
                  <c:v>1.2</c:v>
                </c:pt>
              </c:numCache>
            </c:numRef>
          </c:yVal>
          <c:smooth val="0"/>
        </c:ser>
        <c:ser>
          <c:idx val="2"/>
          <c:order val="4"/>
          <c:tx>
            <c:v>d+ = 4 m</c:v>
          </c:tx>
          <c:spPr>
            <a:ln w="28575">
              <a:noFill/>
            </a:ln>
          </c:spPr>
          <c:marker>
            <c:spPr>
              <a:solidFill>
                <a:srgbClr val="00B050"/>
              </a:solidFill>
            </c:spPr>
          </c:marker>
          <c:xVal>
            <c:numRef>
              <c:f>Burcharth!$F$101:$F$112</c:f>
              <c:numCache>
                <c:formatCode>0.00</c:formatCode>
                <c:ptCount val="12"/>
                <c:pt idx="4">
                  <c:v>1.5686395826408559</c:v>
                </c:pt>
                <c:pt idx="5">
                  <c:v>1.2195882622908027</c:v>
                </c:pt>
                <c:pt idx="6">
                  <c:v>0.73933264875337368</c:v>
                </c:pt>
                <c:pt idx="7">
                  <c:v>2.7305729333748519E-2</c:v>
                </c:pt>
                <c:pt idx="8">
                  <c:v>-0.55037229097800944</c:v>
                </c:pt>
                <c:pt idx="9">
                  <c:v>-0.94440038350926481</c:v>
                </c:pt>
              </c:numCache>
            </c:numRef>
          </c:xVal>
          <c:yVal>
            <c:numRef>
              <c:f>Burcharth!$A$101:$A$112</c:f>
              <c:numCache>
                <c:formatCode>General</c:formatCode>
                <c:ptCount val="12"/>
                <c:pt idx="0">
                  <c:v>0.4</c:v>
                </c:pt>
                <c:pt idx="1">
                  <c:v>0.5</c:v>
                </c:pt>
                <c:pt idx="2">
                  <c:v>0.6</c:v>
                </c:pt>
                <c:pt idx="3">
                  <c:v>0.7</c:v>
                </c:pt>
                <c:pt idx="4">
                  <c:v>0.8</c:v>
                </c:pt>
                <c:pt idx="5">
                  <c:v>0.9</c:v>
                </c:pt>
                <c:pt idx="6">
                  <c:v>1</c:v>
                </c:pt>
                <c:pt idx="7">
                  <c:v>1.1000000000000001</c:v>
                </c:pt>
                <c:pt idx="8">
                  <c:v>1.1499999999999999</c:v>
                </c:pt>
                <c:pt idx="9">
                  <c:v>1.17</c:v>
                </c:pt>
                <c:pt idx="10">
                  <c:v>1.4</c:v>
                </c:pt>
                <c:pt idx="11">
                  <c:v>1.5</c:v>
                </c:pt>
              </c:numCache>
            </c:numRef>
          </c:yVal>
          <c:smooth val="0"/>
        </c:ser>
        <c:ser>
          <c:idx val="5"/>
          <c:order val="5"/>
          <c:tx>
            <c:v>d- = 4 m</c:v>
          </c:tx>
          <c:spPr>
            <a:ln w="28575">
              <a:noFill/>
            </a:ln>
          </c:spPr>
          <c:marker>
            <c:symbol val="plus"/>
            <c:size val="7"/>
            <c:spPr>
              <a:ln>
                <a:solidFill>
                  <a:srgbClr val="00B050"/>
                </a:solidFill>
              </a:ln>
            </c:spPr>
          </c:marker>
          <c:xVal>
            <c:numRef>
              <c:f>Burcharth!$J$101:$J$112</c:f>
              <c:numCache>
                <c:formatCode>0.00</c:formatCode>
                <c:ptCount val="12"/>
                <c:pt idx="5">
                  <c:v>-3.394588262290803</c:v>
                </c:pt>
                <c:pt idx="6">
                  <c:v>-3.1559993154200403</c:v>
                </c:pt>
                <c:pt idx="7">
                  <c:v>-2.6856390626670827</c:v>
                </c:pt>
                <c:pt idx="8">
                  <c:v>-2.2287943756886563</c:v>
                </c:pt>
                <c:pt idx="9">
                  <c:v>-1.8830996164907354</c:v>
                </c:pt>
              </c:numCache>
            </c:numRef>
          </c:xVal>
          <c:yVal>
            <c:numRef>
              <c:f>Burcharth!$A$101:$A$112</c:f>
              <c:numCache>
                <c:formatCode>General</c:formatCode>
                <c:ptCount val="12"/>
                <c:pt idx="0">
                  <c:v>0.4</c:v>
                </c:pt>
                <c:pt idx="1">
                  <c:v>0.5</c:v>
                </c:pt>
                <c:pt idx="2">
                  <c:v>0.6</c:v>
                </c:pt>
                <c:pt idx="3">
                  <c:v>0.7</c:v>
                </c:pt>
                <c:pt idx="4">
                  <c:v>0.8</c:v>
                </c:pt>
                <c:pt idx="5">
                  <c:v>0.9</c:v>
                </c:pt>
                <c:pt idx="6">
                  <c:v>1</c:v>
                </c:pt>
                <c:pt idx="7">
                  <c:v>1.1000000000000001</c:v>
                </c:pt>
                <c:pt idx="8">
                  <c:v>1.1499999999999999</c:v>
                </c:pt>
                <c:pt idx="9">
                  <c:v>1.17</c:v>
                </c:pt>
                <c:pt idx="10">
                  <c:v>1.4</c:v>
                </c:pt>
                <c:pt idx="11">
                  <c:v>1.5</c:v>
                </c:pt>
              </c:numCache>
            </c:numRef>
          </c:yVal>
          <c:smooth val="0"/>
        </c:ser>
        <c:ser>
          <c:idx val="6"/>
          <c:order val="6"/>
          <c:tx>
            <c:v>Rc = -1.21 D50</c:v>
          </c:tx>
          <c:spPr>
            <a:ln w="12700">
              <a:solidFill>
                <a:schemeClr val="tx1"/>
              </a:solidFill>
            </a:ln>
          </c:spPr>
          <c:xVal>
            <c:numRef>
              <c:f>Burcharth!$A$120:$A$121</c:f>
              <c:numCache>
                <c:formatCode>0.00</c:formatCode>
                <c:ptCount val="2"/>
                <c:pt idx="0">
                  <c:v>0</c:v>
                </c:pt>
                <c:pt idx="1">
                  <c:v>-1.6911999999999998</c:v>
                </c:pt>
              </c:numCache>
            </c:numRef>
          </c:xVal>
          <c:yVal>
            <c:numRef>
              <c:f>Burcharth!$B$120:$B$121</c:f>
              <c:numCache>
                <c:formatCode>General</c:formatCode>
                <c:ptCount val="2"/>
                <c:pt idx="0">
                  <c:v>0</c:v>
                </c:pt>
                <c:pt idx="1">
                  <c:v>1.4</c:v>
                </c:pt>
              </c:numCache>
            </c:numRef>
          </c:yVal>
          <c:smooth val="0"/>
        </c:ser>
        <c:dLbls>
          <c:showLegendKey val="0"/>
          <c:showVal val="0"/>
          <c:showCatName val="0"/>
          <c:showSerName val="0"/>
          <c:showPercent val="0"/>
          <c:showBubbleSize val="0"/>
        </c:dLbls>
        <c:axId val="147669760"/>
        <c:axId val="147671680"/>
      </c:scatterChart>
      <c:valAx>
        <c:axId val="147669760"/>
        <c:scaling>
          <c:orientation val="minMax"/>
          <c:max val="4"/>
          <c:min val="-4"/>
        </c:scaling>
        <c:delete val="0"/>
        <c:axPos val="b"/>
        <c:majorGridlines/>
        <c:title>
          <c:tx>
            <c:rich>
              <a:bodyPr/>
              <a:lstStyle/>
              <a:p>
                <a:pPr>
                  <a:defRPr/>
                </a:pPr>
                <a:r>
                  <a:rPr lang="en-US"/>
                  <a:t>Rc (m)</a:t>
                </a:r>
              </a:p>
            </c:rich>
          </c:tx>
          <c:overlay val="0"/>
        </c:title>
        <c:numFmt formatCode="0" sourceLinked="0"/>
        <c:majorTickMark val="out"/>
        <c:minorTickMark val="none"/>
        <c:tickLblPos val="nextTo"/>
        <c:crossAx val="147671680"/>
        <c:crosses val="autoZero"/>
        <c:crossBetween val="midCat"/>
        <c:majorUnit val="1"/>
      </c:valAx>
      <c:valAx>
        <c:axId val="147671680"/>
        <c:scaling>
          <c:orientation val="minMax"/>
          <c:max val="1.5"/>
          <c:min val="0"/>
        </c:scaling>
        <c:delete val="0"/>
        <c:axPos val="l"/>
        <c:majorGridlines/>
        <c:title>
          <c:tx>
            <c:rich>
              <a:bodyPr rot="-5400000" vert="horz"/>
              <a:lstStyle/>
              <a:p>
                <a:pPr>
                  <a:defRPr/>
                </a:pPr>
                <a:r>
                  <a:rPr lang="en-US"/>
                  <a:t>D50 (m)</a:t>
                </a:r>
              </a:p>
            </c:rich>
          </c:tx>
          <c:overlay val="0"/>
        </c:title>
        <c:numFmt formatCode="#,##0.00" sourceLinked="0"/>
        <c:majorTickMark val="out"/>
        <c:minorTickMark val="none"/>
        <c:tickLblPos val="nextTo"/>
        <c:txPr>
          <a:bodyPr rot="0" vert="horz"/>
          <a:lstStyle/>
          <a:p>
            <a:pPr>
              <a:defRPr/>
            </a:pPr>
            <a:endParaRPr lang="fr-FR"/>
          </a:p>
        </c:txPr>
        <c:crossAx val="147669760"/>
        <c:crossesAt val="-15"/>
        <c:crossBetween val="midCat"/>
        <c:majorUnit val="0.2"/>
      </c:valAx>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a:pPr>
            <a:r>
              <a:rPr lang="fr-FR"/>
              <a:t>STABILITY of SUBMERGED BREAKWATERS with breaking waves</a:t>
            </a:r>
          </a:p>
        </c:rich>
      </c:tx>
      <c:layout>
        <c:manualLayout>
          <c:xMode val="edge"/>
          <c:yMode val="edge"/>
          <c:x val="0.14867584219141372"/>
          <c:y val="4.9444386118401865E-2"/>
        </c:manualLayout>
      </c:layout>
      <c:overlay val="0"/>
    </c:title>
    <c:autoTitleDeleted val="0"/>
    <c:plotArea>
      <c:layout>
        <c:manualLayout>
          <c:layoutTarget val="inner"/>
          <c:xMode val="edge"/>
          <c:yMode val="edge"/>
          <c:x val="0.10487154313085723"/>
          <c:y val="0.17407802106928416"/>
          <c:w val="0.8590204362940137"/>
          <c:h val="0.57379498795527273"/>
        </c:manualLayout>
      </c:layout>
      <c:scatterChart>
        <c:scatterStyle val="smoothMarker"/>
        <c:varyColors val="0"/>
        <c:ser>
          <c:idx val="2"/>
          <c:order val="0"/>
          <c:tx>
            <c:v>Rosslyn, 1977</c:v>
          </c:tx>
          <c:spPr>
            <a:ln>
              <a:noFill/>
            </a:ln>
          </c:spPr>
          <c:marker>
            <c:symbol val="circle"/>
            <c:size val="5"/>
            <c:spPr>
              <a:solidFill>
                <a:srgbClr val="C00000"/>
              </a:solidFill>
            </c:spPr>
          </c:marker>
          <c:xVal>
            <c:numRef>
              <c:f>Foster!$C$22</c:f>
              <c:numCache>
                <c:formatCode>0\.0</c:formatCode>
                <c:ptCount val="1"/>
                <c:pt idx="0">
                  <c:v>10.126582278481012</c:v>
                </c:pt>
              </c:numCache>
            </c:numRef>
          </c:xVal>
          <c:yVal>
            <c:numRef>
              <c:f>Foster!$C$21</c:f>
              <c:numCache>
                <c:formatCode>General</c:formatCode>
                <c:ptCount val="1"/>
                <c:pt idx="0">
                  <c:v>-5.2</c:v>
                </c:pt>
              </c:numCache>
            </c:numRef>
          </c:yVal>
          <c:smooth val="1"/>
        </c:ser>
        <c:ser>
          <c:idx val="3"/>
          <c:order val="1"/>
          <c:tx>
            <c:v>Ahrens, 1987</c:v>
          </c:tx>
          <c:spPr>
            <a:ln>
              <a:noFill/>
            </a:ln>
          </c:spPr>
          <c:marker>
            <c:symbol val="triangle"/>
            <c:size val="7"/>
            <c:spPr>
              <a:solidFill>
                <a:schemeClr val="accent6">
                  <a:lumMod val="75000"/>
                </a:schemeClr>
              </a:solidFill>
            </c:spPr>
          </c:marker>
          <c:xVal>
            <c:numRef>
              <c:f>Ahrens!$B$38:$E$38</c:f>
              <c:numCache>
                <c:formatCode>0.00</c:formatCode>
                <c:ptCount val="4"/>
                <c:pt idx="0">
                  <c:v>8.2335719212643959</c:v>
                </c:pt>
                <c:pt idx="1">
                  <c:v>8.2335719212643959</c:v>
                </c:pt>
                <c:pt idx="2">
                  <c:v>8.2335719212643959</c:v>
                </c:pt>
                <c:pt idx="3">
                  <c:v>6.0180351464823145</c:v>
                </c:pt>
              </c:numCache>
            </c:numRef>
          </c:xVal>
          <c:yVal>
            <c:numRef>
              <c:f>Ahrens!$B$37:$E$37</c:f>
              <c:numCache>
                <c:formatCode>0.00</c:formatCode>
                <c:ptCount val="4"/>
                <c:pt idx="0">
                  <c:v>-4.3053676919168371</c:v>
                </c:pt>
                <c:pt idx="1">
                  <c:v>-3.7524339359724053</c:v>
                </c:pt>
                <c:pt idx="2">
                  <c:v>-2.8022468019708091</c:v>
                </c:pt>
                <c:pt idx="3">
                  <c:v>-0.21770843945914414</c:v>
                </c:pt>
              </c:numCache>
            </c:numRef>
          </c:yVal>
          <c:smooth val="1"/>
        </c:ser>
        <c:ser>
          <c:idx val="7"/>
          <c:order val="2"/>
          <c:tx>
            <c:v>Thapsus</c:v>
          </c:tx>
          <c:spPr>
            <a:ln>
              <a:noFill/>
            </a:ln>
          </c:spPr>
          <c:marker>
            <c:symbol val="square"/>
            <c:size val="5"/>
            <c:spPr>
              <a:solidFill>
                <a:srgbClr val="C00000"/>
              </a:solidFill>
            </c:spPr>
          </c:marker>
          <c:xVal>
            <c:numRef>
              <c:f>Thapsus!$C$9</c:f>
              <c:numCache>
                <c:formatCode>0\.0</c:formatCode>
                <c:ptCount val="1"/>
                <c:pt idx="0">
                  <c:v>4.3037974683544302</c:v>
                </c:pt>
              </c:numCache>
            </c:numRef>
          </c:xVal>
          <c:yVal>
            <c:numRef>
              <c:f>Thapsus!$C$8</c:f>
              <c:numCache>
                <c:formatCode>General</c:formatCode>
                <c:ptCount val="1"/>
                <c:pt idx="0">
                  <c:v>-3.6</c:v>
                </c:pt>
              </c:numCache>
            </c:numRef>
          </c:yVal>
          <c:smooth val="1"/>
        </c:ser>
        <c:ser>
          <c:idx val="5"/>
          <c:order val="3"/>
          <c:tx>
            <c:v>Burcharth, 2003</c:v>
          </c:tx>
          <c:spPr>
            <a:ln w="28575">
              <a:solidFill>
                <a:srgbClr val="FFC000"/>
              </a:solidFill>
            </a:ln>
          </c:spPr>
          <c:marker>
            <c:symbol val="x"/>
            <c:size val="2"/>
          </c:marker>
          <c:xVal>
            <c:numRef>
              <c:f>Burcharth!$C$47:$C$62</c:f>
              <c:numCache>
                <c:formatCode>0.00</c:formatCode>
                <c:ptCount val="16"/>
                <c:pt idx="0">
                  <c:v>2.2666666666666671</c:v>
                </c:pt>
                <c:pt idx="1">
                  <c:v>2.3473333333333337</c:v>
                </c:pt>
                <c:pt idx="2">
                  <c:v>2.4359999999999999</c:v>
                </c:pt>
                <c:pt idx="3">
                  <c:v>2.5326666666666671</c:v>
                </c:pt>
                <c:pt idx="4">
                  <c:v>2.6373333333333338</c:v>
                </c:pt>
                <c:pt idx="5">
                  <c:v>2.7500000000000004</c:v>
                </c:pt>
                <c:pt idx="6">
                  <c:v>2.8706666666666671</c:v>
                </c:pt>
                <c:pt idx="7">
                  <c:v>2.9993333333333334</c:v>
                </c:pt>
                <c:pt idx="8">
                  <c:v>3.1360000000000006</c:v>
                </c:pt>
                <c:pt idx="9">
                  <c:v>3.2806666666666668</c:v>
                </c:pt>
                <c:pt idx="10">
                  <c:v>3.4333333333333336</c:v>
                </c:pt>
                <c:pt idx="11">
                  <c:v>3.5940000000000012</c:v>
                </c:pt>
                <c:pt idx="12">
                  <c:v>3.762666666666667</c:v>
                </c:pt>
                <c:pt idx="13">
                  <c:v>3.9393333333333334</c:v>
                </c:pt>
                <c:pt idx="14">
                  <c:v>4.1240000000000006</c:v>
                </c:pt>
                <c:pt idx="15">
                  <c:v>4.3166666666666664</c:v>
                </c:pt>
              </c:numCache>
            </c:numRef>
          </c:xVal>
          <c:yVal>
            <c:numRef>
              <c:f>Burcharth!$A$47:$A$62</c:f>
              <c:numCache>
                <c:formatCode>General</c:formatCode>
                <c:ptCount val="1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numCache>
            </c:numRef>
          </c:yVal>
          <c:smooth val="1"/>
        </c:ser>
        <c:ser>
          <c:idx val="4"/>
          <c:order val="4"/>
          <c:tx>
            <c:v>Burcharth extrapol</c:v>
          </c:tx>
          <c:spPr>
            <a:ln w="28575">
              <a:solidFill>
                <a:srgbClr val="FFC000"/>
              </a:solidFill>
              <a:prstDash val="dash"/>
            </a:ln>
          </c:spPr>
          <c:marker>
            <c:symbol val="x"/>
            <c:size val="2"/>
            <c:spPr>
              <a:ln>
                <a:solidFill>
                  <a:srgbClr val="FFC000"/>
                </a:solidFill>
              </a:ln>
            </c:spPr>
          </c:marker>
          <c:xVal>
            <c:numRef>
              <c:f>Burcharth!$G$41:$G$55</c:f>
              <c:numCache>
                <c:formatCode>0.00</c:formatCode>
                <c:ptCount val="15"/>
                <c:pt idx="0">
                  <c:v>4.3166666666666664</c:v>
                </c:pt>
                <c:pt idx="1">
                  <c:v>4.8333333333333339</c:v>
                </c:pt>
                <c:pt idx="2">
                  <c:v>5.4</c:v>
                </c:pt>
                <c:pt idx="3">
                  <c:v>6.0166666666666675</c:v>
                </c:pt>
                <c:pt idx="4">
                  <c:v>6.6833333333333345</c:v>
                </c:pt>
                <c:pt idx="5">
                  <c:v>7.4000000000000012</c:v>
                </c:pt>
                <c:pt idx="6">
                  <c:v>8.1666666666666679</c:v>
                </c:pt>
                <c:pt idx="7">
                  <c:v>8.9833333333333343</c:v>
                </c:pt>
                <c:pt idx="8">
                  <c:v>9.8500000000000014</c:v>
                </c:pt>
                <c:pt idx="9">
                  <c:v>10.766666666666667</c:v>
                </c:pt>
                <c:pt idx="10">
                  <c:v>11.733333333333334</c:v>
                </c:pt>
                <c:pt idx="11">
                  <c:v>12.750000000000002</c:v>
                </c:pt>
                <c:pt idx="12">
                  <c:v>13.816666666666668</c:v>
                </c:pt>
                <c:pt idx="13">
                  <c:v>14.933333333333332</c:v>
                </c:pt>
                <c:pt idx="14">
                  <c:v>16.100000000000001</c:v>
                </c:pt>
              </c:numCache>
            </c:numRef>
          </c:xVal>
          <c:yVal>
            <c:numRef>
              <c:f>Burcharth!$E$41:$E$55</c:f>
              <c:numCache>
                <c:formatCode>General</c:formatCode>
                <c:ptCount val="15"/>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numCache>
            </c:numRef>
          </c:yVal>
          <c:smooth val="1"/>
        </c:ser>
        <c:ser>
          <c:idx val="0"/>
          <c:order val="5"/>
          <c:tx>
            <c:v>Burcharth's rule</c:v>
          </c:tx>
          <c:spPr>
            <a:ln w="25400">
              <a:solidFill>
                <a:srgbClr val="00B050"/>
              </a:solidFill>
              <a:prstDash val="sysDash"/>
            </a:ln>
          </c:spPr>
          <c:marker>
            <c:symbol val="x"/>
            <c:size val="2"/>
            <c:spPr>
              <a:ln>
                <a:solidFill>
                  <a:srgbClr val="00B050"/>
                </a:solidFill>
              </a:ln>
            </c:spPr>
          </c:marker>
          <c:xVal>
            <c:numRef>
              <c:f>Burcharth!$H$21:$H$22</c:f>
              <c:numCache>
                <c:formatCode>General</c:formatCode>
                <c:ptCount val="2"/>
                <c:pt idx="0">
                  <c:v>0</c:v>
                </c:pt>
                <c:pt idx="1">
                  <c:v>4</c:v>
                </c:pt>
              </c:numCache>
            </c:numRef>
          </c:xVal>
          <c:yVal>
            <c:numRef>
              <c:f>Burcharth!$G$21:$G$22</c:f>
              <c:numCache>
                <c:formatCode>General</c:formatCode>
                <c:ptCount val="2"/>
                <c:pt idx="0">
                  <c:v>3.45</c:v>
                </c:pt>
                <c:pt idx="1">
                  <c:v>-2.95</c:v>
                </c:pt>
              </c:numCache>
            </c:numRef>
          </c:yVal>
          <c:smooth val="1"/>
        </c:ser>
        <c:dLbls>
          <c:showLegendKey val="0"/>
          <c:showVal val="0"/>
          <c:showCatName val="0"/>
          <c:showSerName val="0"/>
          <c:showPercent val="0"/>
          <c:showBubbleSize val="0"/>
        </c:dLbls>
        <c:axId val="147790464"/>
        <c:axId val="147809408"/>
      </c:scatterChart>
      <c:valAx>
        <c:axId val="147790464"/>
        <c:scaling>
          <c:orientation val="minMax"/>
          <c:max val="12"/>
          <c:min val="2"/>
        </c:scaling>
        <c:delete val="0"/>
        <c:axPos val="b"/>
        <c:majorGridlines/>
        <c:title>
          <c:tx>
            <c:rich>
              <a:bodyPr/>
              <a:lstStyle/>
              <a:p>
                <a:pPr>
                  <a:defRPr sz="1000"/>
                </a:pPr>
                <a:r>
                  <a:rPr lang="en-US" sz="1000" b="1" i="0" baseline="0">
                    <a:effectLst/>
                  </a:rPr>
                  <a:t>h/</a:t>
                </a:r>
                <a:r>
                  <a:rPr lang="el-GR" sz="1000" b="1" i="0" baseline="0">
                    <a:effectLst/>
                  </a:rPr>
                  <a:t>Δ</a:t>
                </a:r>
                <a:r>
                  <a:rPr lang="en-US" sz="1000" b="1" i="0" baseline="0">
                    <a:effectLst/>
                  </a:rPr>
                  <a:t>D50</a:t>
                </a:r>
                <a:endParaRPr lang="fr-FR" sz="1000">
                  <a:effectLst/>
                </a:endParaRPr>
              </a:p>
            </c:rich>
          </c:tx>
          <c:layout>
            <c:manualLayout>
              <c:xMode val="edge"/>
              <c:yMode val="edge"/>
              <c:x val="0.49081164210535172"/>
              <c:y val="0.78225721784776903"/>
            </c:manualLayout>
          </c:layout>
          <c:overlay val="0"/>
        </c:title>
        <c:numFmt formatCode="0.0" sourceLinked="0"/>
        <c:majorTickMark val="out"/>
        <c:minorTickMark val="none"/>
        <c:tickLblPos val="nextTo"/>
        <c:crossAx val="147809408"/>
        <c:crossesAt val="-10"/>
        <c:crossBetween val="midCat"/>
      </c:valAx>
      <c:valAx>
        <c:axId val="147809408"/>
        <c:scaling>
          <c:orientation val="minMax"/>
          <c:max val="3"/>
          <c:min val="-10"/>
        </c:scaling>
        <c:delete val="0"/>
        <c:axPos val="l"/>
        <c:majorGridlines/>
        <c:title>
          <c:tx>
            <c:rich>
              <a:bodyPr rot="-5400000" vert="horz"/>
              <a:lstStyle/>
              <a:p>
                <a:pPr>
                  <a:defRPr/>
                </a:pPr>
                <a:r>
                  <a:rPr lang="en-US"/>
                  <a:t>Rc/D50</a:t>
                </a:r>
              </a:p>
            </c:rich>
          </c:tx>
          <c:layout>
            <c:manualLayout>
              <c:xMode val="edge"/>
              <c:yMode val="edge"/>
              <c:x val="1.4571946211542588E-2"/>
              <c:y val="0.39644867308253134"/>
            </c:manualLayout>
          </c:layout>
          <c:overlay val="0"/>
        </c:title>
        <c:numFmt formatCode="General" sourceLinked="1"/>
        <c:majorTickMark val="none"/>
        <c:minorTickMark val="none"/>
        <c:tickLblPos val="nextTo"/>
        <c:crossAx val="147790464"/>
        <c:crossesAt val="1"/>
        <c:crossBetween val="midCat"/>
        <c:majorUnit val="2"/>
      </c:valAx>
    </c:plotArea>
    <c:legend>
      <c:legendPos val="b"/>
      <c:legendEntry>
        <c:idx val="4"/>
        <c:delete val="1"/>
      </c:legendEntry>
      <c:layout>
        <c:manualLayout>
          <c:xMode val="edge"/>
          <c:yMode val="edge"/>
          <c:x val="9.5336097541012757E-2"/>
          <c:y val="0.83413302845341053"/>
          <c:w val="0.75255997070133673"/>
          <c:h val="0.10271356080489939"/>
        </c:manualLayout>
      </c:layout>
      <c:overlay val="0"/>
      <c:spPr>
        <a:solidFill>
          <a:schemeClr val="bg1"/>
        </a:solidFill>
        <a:ln>
          <a:solidFill>
            <a:srgbClr val="0070C0"/>
          </a:solidFill>
        </a:ln>
      </c:spPr>
    </c:legend>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a:pPr>
            <a:r>
              <a:rPr lang="fr-FR"/>
              <a:t>STABILITY of SUBMERGED BREAKWATERS</a:t>
            </a:r>
          </a:p>
          <a:p>
            <a:pPr algn="r">
              <a:defRPr/>
            </a:pPr>
            <a:r>
              <a:rPr lang="fr-FR"/>
              <a:t>with breaking waves</a:t>
            </a:r>
          </a:p>
        </c:rich>
      </c:tx>
      <c:layout>
        <c:manualLayout>
          <c:xMode val="edge"/>
          <c:yMode val="edge"/>
          <c:x val="0.20517300265851959"/>
          <c:y val="1.3888757056052924E-2"/>
        </c:manualLayout>
      </c:layout>
      <c:overlay val="0"/>
    </c:title>
    <c:autoTitleDeleted val="0"/>
    <c:plotArea>
      <c:layout>
        <c:manualLayout>
          <c:layoutTarget val="inner"/>
          <c:xMode val="edge"/>
          <c:yMode val="edge"/>
          <c:x val="0.10487154313085723"/>
          <c:y val="0.17407802106928416"/>
          <c:w val="0.84687714778439482"/>
          <c:h val="0.59336161596152681"/>
        </c:manualLayout>
      </c:layout>
      <c:scatterChart>
        <c:scatterStyle val="smoothMarker"/>
        <c:varyColors val="0"/>
        <c:ser>
          <c:idx val="2"/>
          <c:order val="0"/>
          <c:tx>
            <c:v>Rosslyn, 1977</c:v>
          </c:tx>
          <c:spPr>
            <a:ln>
              <a:noFill/>
            </a:ln>
          </c:spPr>
          <c:marker>
            <c:symbol val="circle"/>
            <c:size val="5"/>
            <c:spPr>
              <a:solidFill>
                <a:srgbClr val="C00000"/>
              </a:solidFill>
            </c:spPr>
          </c:marker>
          <c:xVal>
            <c:numRef>
              <c:f>Foster!$C$22</c:f>
              <c:numCache>
                <c:formatCode>0\.0</c:formatCode>
                <c:ptCount val="1"/>
                <c:pt idx="0">
                  <c:v>10.126582278481012</c:v>
                </c:pt>
              </c:numCache>
            </c:numRef>
          </c:xVal>
          <c:yVal>
            <c:numRef>
              <c:f>Foster!$C$21</c:f>
              <c:numCache>
                <c:formatCode>General</c:formatCode>
                <c:ptCount val="1"/>
                <c:pt idx="0">
                  <c:v>-5.2</c:v>
                </c:pt>
              </c:numCache>
            </c:numRef>
          </c:yVal>
          <c:smooth val="1"/>
        </c:ser>
        <c:ser>
          <c:idx val="3"/>
          <c:order val="1"/>
          <c:tx>
            <c:v>Ahrens, 1987</c:v>
          </c:tx>
          <c:spPr>
            <a:ln>
              <a:noFill/>
            </a:ln>
          </c:spPr>
          <c:marker>
            <c:symbol val="triangle"/>
            <c:size val="7"/>
            <c:spPr>
              <a:solidFill>
                <a:schemeClr val="accent6">
                  <a:lumMod val="75000"/>
                </a:schemeClr>
              </a:solidFill>
            </c:spPr>
          </c:marker>
          <c:xVal>
            <c:numRef>
              <c:f>Ahrens!$B$38:$E$38</c:f>
              <c:numCache>
                <c:formatCode>0.00</c:formatCode>
                <c:ptCount val="4"/>
                <c:pt idx="0">
                  <c:v>8.2335719212643959</c:v>
                </c:pt>
                <c:pt idx="1">
                  <c:v>8.2335719212643959</c:v>
                </c:pt>
                <c:pt idx="2">
                  <c:v>8.2335719212643959</c:v>
                </c:pt>
                <c:pt idx="3">
                  <c:v>6.0180351464823145</c:v>
                </c:pt>
              </c:numCache>
            </c:numRef>
          </c:xVal>
          <c:yVal>
            <c:numRef>
              <c:f>Ahrens!$B$37:$E$37</c:f>
              <c:numCache>
                <c:formatCode>0.00</c:formatCode>
                <c:ptCount val="4"/>
                <c:pt idx="0">
                  <c:v>-4.3053676919168371</c:v>
                </c:pt>
                <c:pt idx="1">
                  <c:v>-3.7524339359724053</c:v>
                </c:pt>
                <c:pt idx="2">
                  <c:v>-2.8022468019708091</c:v>
                </c:pt>
                <c:pt idx="3">
                  <c:v>-0.21770843945914414</c:v>
                </c:pt>
              </c:numCache>
            </c:numRef>
          </c:yVal>
          <c:smooth val="1"/>
        </c:ser>
        <c:ser>
          <c:idx val="7"/>
          <c:order val="2"/>
          <c:tx>
            <c:v>Thapsus</c:v>
          </c:tx>
          <c:spPr>
            <a:ln>
              <a:noFill/>
            </a:ln>
          </c:spPr>
          <c:marker>
            <c:symbol val="square"/>
            <c:size val="5"/>
            <c:spPr>
              <a:solidFill>
                <a:srgbClr val="C00000"/>
              </a:solidFill>
            </c:spPr>
          </c:marker>
          <c:xVal>
            <c:numRef>
              <c:f>Thapsus!$C$9</c:f>
              <c:numCache>
                <c:formatCode>0\.0</c:formatCode>
                <c:ptCount val="1"/>
                <c:pt idx="0">
                  <c:v>4.3037974683544302</c:v>
                </c:pt>
              </c:numCache>
            </c:numRef>
          </c:xVal>
          <c:yVal>
            <c:numRef>
              <c:f>Thapsus!$C$8</c:f>
              <c:numCache>
                <c:formatCode>General</c:formatCode>
                <c:ptCount val="1"/>
                <c:pt idx="0">
                  <c:v>-3.6</c:v>
                </c:pt>
              </c:numCache>
            </c:numRef>
          </c:yVal>
          <c:smooth val="1"/>
        </c:ser>
        <c:ser>
          <c:idx val="0"/>
          <c:order val="3"/>
          <c:tx>
            <c:v>Vidal, 1995</c:v>
          </c:tx>
          <c:marker>
            <c:symbol val="x"/>
            <c:size val="2"/>
          </c:marker>
          <c:trendline>
            <c:trendlineType val="power"/>
            <c:dispRSqr val="0"/>
            <c:dispEq val="0"/>
          </c:trendline>
          <c:xVal>
            <c:numRef>
              <c:f>Vidal!$B$109:$B$131</c:f>
              <c:numCache>
                <c:formatCode>0.00</c:formatCode>
                <c:ptCount val="23"/>
                <c:pt idx="0">
                  <c:v>4.2412569238025162</c:v>
                </c:pt>
                <c:pt idx="1">
                  <c:v>4.2322335293852005</c:v>
                </c:pt>
                <c:pt idx="2">
                  <c:v>4.2370721611741962</c:v>
                </c:pt>
                <c:pt idx="3">
                  <c:v>4.2557728191695015</c:v>
                </c:pt>
                <c:pt idx="4">
                  <c:v>4.2883355033711181</c:v>
                </c:pt>
                <c:pt idx="5">
                  <c:v>4.3347602137790453</c:v>
                </c:pt>
                <c:pt idx="6">
                  <c:v>4.395046950393283</c:v>
                </c:pt>
                <c:pt idx="7">
                  <c:v>4.4691957132138311</c:v>
                </c:pt>
                <c:pt idx="8">
                  <c:v>4.5572065022406907</c:v>
                </c:pt>
                <c:pt idx="9">
                  <c:v>4.6590793174738607</c:v>
                </c:pt>
                <c:pt idx="10">
                  <c:v>4.7748141589133404</c:v>
                </c:pt>
                <c:pt idx="11">
                  <c:v>4.9044110265591314</c:v>
                </c:pt>
                <c:pt idx="12">
                  <c:v>5.0478699204112338</c:v>
                </c:pt>
                <c:pt idx="13">
                  <c:v>5.2051908404696459</c:v>
                </c:pt>
                <c:pt idx="14">
                  <c:v>5.3763737867343693</c:v>
                </c:pt>
                <c:pt idx="15">
                  <c:v>5.5614187592054014</c:v>
                </c:pt>
                <c:pt idx="16">
                  <c:v>5.7603257578827458</c:v>
                </c:pt>
                <c:pt idx="17">
                  <c:v>5.9730947827664007</c:v>
                </c:pt>
                <c:pt idx="18">
                  <c:v>6.1997258338563661</c:v>
                </c:pt>
                <c:pt idx="19">
                  <c:v>6.4402189111526296</c:v>
                </c:pt>
                <c:pt idx="20">
                  <c:v>6.6945740146552168</c:v>
                </c:pt>
                <c:pt idx="21">
                  <c:v>6.9627911443641128</c:v>
                </c:pt>
                <c:pt idx="22">
                  <c:v>7.2448703002793211</c:v>
                </c:pt>
              </c:numCache>
            </c:numRef>
          </c:xVal>
          <c:yVal>
            <c:numRef>
              <c:f>Vidal!$A$109:$A$131</c:f>
              <c:numCache>
                <c:formatCode>General</c:formatCode>
                <c:ptCount val="23"/>
                <c:pt idx="0">
                  <c:v>2.4</c:v>
                </c:pt>
                <c:pt idx="1">
                  <c:v>2.2000000000000002</c:v>
                </c:pt>
                <c:pt idx="2">
                  <c:v>2</c:v>
                </c:pt>
                <c:pt idx="3">
                  <c:v>1.8</c:v>
                </c:pt>
                <c:pt idx="4">
                  <c:v>1.6</c:v>
                </c:pt>
                <c:pt idx="5">
                  <c:v>1.4</c:v>
                </c:pt>
                <c:pt idx="6">
                  <c:v>1.2</c:v>
                </c:pt>
                <c:pt idx="7">
                  <c:v>1</c:v>
                </c:pt>
                <c:pt idx="8">
                  <c:v>0.8</c:v>
                </c:pt>
                <c:pt idx="9">
                  <c:v>0.6</c:v>
                </c:pt>
                <c:pt idx="10">
                  <c:v>0.4</c:v>
                </c:pt>
                <c:pt idx="11">
                  <c:v>0.2</c:v>
                </c:pt>
                <c:pt idx="12">
                  <c:v>0</c:v>
                </c:pt>
                <c:pt idx="13">
                  <c:v>-0.2</c:v>
                </c:pt>
                <c:pt idx="14">
                  <c:v>-0.4</c:v>
                </c:pt>
                <c:pt idx="15">
                  <c:v>-0.6</c:v>
                </c:pt>
                <c:pt idx="16">
                  <c:v>-0.8</c:v>
                </c:pt>
                <c:pt idx="17">
                  <c:v>-1</c:v>
                </c:pt>
                <c:pt idx="18">
                  <c:v>-1.2</c:v>
                </c:pt>
                <c:pt idx="19">
                  <c:v>-1.3999999999999899</c:v>
                </c:pt>
                <c:pt idx="20">
                  <c:v>-1.5999999999999901</c:v>
                </c:pt>
                <c:pt idx="21">
                  <c:v>-1.7999999999999901</c:v>
                </c:pt>
                <c:pt idx="22">
                  <c:v>-1.99999999999999</c:v>
                </c:pt>
              </c:numCache>
            </c:numRef>
          </c:yVal>
          <c:smooth val="1"/>
        </c:ser>
        <c:ser>
          <c:idx val="5"/>
          <c:order val="4"/>
          <c:tx>
            <c:v>Burcharth, 2003</c:v>
          </c:tx>
          <c:spPr>
            <a:ln w="28575">
              <a:solidFill>
                <a:srgbClr val="C00000"/>
              </a:solidFill>
            </a:ln>
          </c:spPr>
          <c:marker>
            <c:symbol val="x"/>
            <c:size val="2"/>
            <c:spPr>
              <a:ln>
                <a:solidFill>
                  <a:srgbClr val="C00000"/>
                </a:solidFill>
              </a:ln>
            </c:spPr>
          </c:marker>
          <c:xVal>
            <c:numRef>
              <c:f>Burcharth!$C$47:$C$62</c:f>
              <c:numCache>
                <c:formatCode>0.00</c:formatCode>
                <c:ptCount val="16"/>
                <c:pt idx="0">
                  <c:v>2.2666666666666671</c:v>
                </c:pt>
                <c:pt idx="1">
                  <c:v>2.3473333333333337</c:v>
                </c:pt>
                <c:pt idx="2">
                  <c:v>2.4359999999999999</c:v>
                </c:pt>
                <c:pt idx="3">
                  <c:v>2.5326666666666671</c:v>
                </c:pt>
                <c:pt idx="4">
                  <c:v>2.6373333333333338</c:v>
                </c:pt>
                <c:pt idx="5">
                  <c:v>2.7500000000000004</c:v>
                </c:pt>
                <c:pt idx="6">
                  <c:v>2.8706666666666671</c:v>
                </c:pt>
                <c:pt idx="7">
                  <c:v>2.9993333333333334</c:v>
                </c:pt>
                <c:pt idx="8">
                  <c:v>3.1360000000000006</c:v>
                </c:pt>
                <c:pt idx="9">
                  <c:v>3.2806666666666668</c:v>
                </c:pt>
                <c:pt idx="10">
                  <c:v>3.4333333333333336</c:v>
                </c:pt>
                <c:pt idx="11">
                  <c:v>3.5940000000000012</c:v>
                </c:pt>
                <c:pt idx="12">
                  <c:v>3.762666666666667</c:v>
                </c:pt>
                <c:pt idx="13">
                  <c:v>3.9393333333333334</c:v>
                </c:pt>
                <c:pt idx="14">
                  <c:v>4.1240000000000006</c:v>
                </c:pt>
                <c:pt idx="15">
                  <c:v>4.3166666666666664</c:v>
                </c:pt>
              </c:numCache>
            </c:numRef>
          </c:xVal>
          <c:yVal>
            <c:numRef>
              <c:f>Burcharth!$A$47:$A$62</c:f>
              <c:numCache>
                <c:formatCode>General</c:formatCode>
                <c:ptCount val="16"/>
                <c:pt idx="0">
                  <c:v>0</c:v>
                </c:pt>
                <c:pt idx="1">
                  <c:v>-0.2</c:v>
                </c:pt>
                <c:pt idx="2">
                  <c:v>-0.4</c:v>
                </c:pt>
                <c:pt idx="3">
                  <c:v>-0.6</c:v>
                </c:pt>
                <c:pt idx="4">
                  <c:v>-0.8</c:v>
                </c:pt>
                <c:pt idx="5">
                  <c:v>-1</c:v>
                </c:pt>
                <c:pt idx="6">
                  <c:v>-1.2</c:v>
                </c:pt>
                <c:pt idx="7">
                  <c:v>-1.4</c:v>
                </c:pt>
                <c:pt idx="8">
                  <c:v>-1.6</c:v>
                </c:pt>
                <c:pt idx="9">
                  <c:v>-1.8</c:v>
                </c:pt>
                <c:pt idx="10">
                  <c:v>-2</c:v>
                </c:pt>
                <c:pt idx="11">
                  <c:v>-2.2000000000000002</c:v>
                </c:pt>
                <c:pt idx="12">
                  <c:v>-2.4</c:v>
                </c:pt>
                <c:pt idx="13">
                  <c:v>-2.6</c:v>
                </c:pt>
                <c:pt idx="14">
                  <c:v>-2.8</c:v>
                </c:pt>
                <c:pt idx="15">
                  <c:v>-3</c:v>
                </c:pt>
              </c:numCache>
            </c:numRef>
          </c:yVal>
          <c:smooth val="1"/>
        </c:ser>
        <c:ser>
          <c:idx val="4"/>
          <c:order val="5"/>
          <c:tx>
            <c:v>Burcharth extrapol</c:v>
          </c:tx>
          <c:spPr>
            <a:ln w="28575">
              <a:solidFill>
                <a:srgbClr val="C00000"/>
              </a:solidFill>
              <a:prstDash val="dash"/>
            </a:ln>
          </c:spPr>
          <c:marker>
            <c:symbol val="x"/>
            <c:size val="2"/>
            <c:spPr>
              <a:ln>
                <a:solidFill>
                  <a:srgbClr val="C00000"/>
                </a:solidFill>
              </a:ln>
            </c:spPr>
          </c:marker>
          <c:xVal>
            <c:numRef>
              <c:f>Burcharth!$G$41:$G$55</c:f>
              <c:numCache>
                <c:formatCode>0.00</c:formatCode>
                <c:ptCount val="15"/>
                <c:pt idx="0">
                  <c:v>4.3166666666666664</c:v>
                </c:pt>
                <c:pt idx="1">
                  <c:v>4.8333333333333339</c:v>
                </c:pt>
                <c:pt idx="2">
                  <c:v>5.4</c:v>
                </c:pt>
                <c:pt idx="3">
                  <c:v>6.0166666666666675</c:v>
                </c:pt>
                <c:pt idx="4">
                  <c:v>6.6833333333333345</c:v>
                </c:pt>
                <c:pt idx="5">
                  <c:v>7.4000000000000012</c:v>
                </c:pt>
                <c:pt idx="6">
                  <c:v>8.1666666666666679</c:v>
                </c:pt>
                <c:pt idx="7">
                  <c:v>8.9833333333333343</c:v>
                </c:pt>
                <c:pt idx="8">
                  <c:v>9.8500000000000014</c:v>
                </c:pt>
                <c:pt idx="9">
                  <c:v>10.766666666666667</c:v>
                </c:pt>
                <c:pt idx="10">
                  <c:v>11.733333333333334</c:v>
                </c:pt>
                <c:pt idx="11">
                  <c:v>12.750000000000002</c:v>
                </c:pt>
                <c:pt idx="12">
                  <c:v>13.816666666666668</c:v>
                </c:pt>
                <c:pt idx="13">
                  <c:v>14.933333333333332</c:v>
                </c:pt>
                <c:pt idx="14">
                  <c:v>16.100000000000001</c:v>
                </c:pt>
              </c:numCache>
            </c:numRef>
          </c:xVal>
          <c:yVal>
            <c:numRef>
              <c:f>Burcharth!$E$41:$E$55</c:f>
              <c:numCache>
                <c:formatCode>General</c:formatCode>
                <c:ptCount val="15"/>
                <c:pt idx="0">
                  <c:v>-3</c:v>
                </c:pt>
                <c:pt idx="1">
                  <c:v>-3.5</c:v>
                </c:pt>
                <c:pt idx="2">
                  <c:v>-4</c:v>
                </c:pt>
                <c:pt idx="3">
                  <c:v>-4.5</c:v>
                </c:pt>
                <c:pt idx="4">
                  <c:v>-5</c:v>
                </c:pt>
                <c:pt idx="5">
                  <c:v>-5.5</c:v>
                </c:pt>
                <c:pt idx="6">
                  <c:v>-6</c:v>
                </c:pt>
                <c:pt idx="7">
                  <c:v>-6.5</c:v>
                </c:pt>
                <c:pt idx="8">
                  <c:v>-7</c:v>
                </c:pt>
                <c:pt idx="9">
                  <c:v>-7.5</c:v>
                </c:pt>
                <c:pt idx="10">
                  <c:v>-8</c:v>
                </c:pt>
                <c:pt idx="11">
                  <c:v>-8.5</c:v>
                </c:pt>
                <c:pt idx="12">
                  <c:v>-9</c:v>
                </c:pt>
                <c:pt idx="13">
                  <c:v>-9.5</c:v>
                </c:pt>
                <c:pt idx="14">
                  <c:v>-10</c:v>
                </c:pt>
              </c:numCache>
            </c:numRef>
          </c:yVal>
          <c:smooth val="1"/>
        </c:ser>
        <c:ser>
          <c:idx val="9"/>
          <c:order val="6"/>
          <c:tx>
            <c:v>Near-bed 1</c:v>
          </c:tx>
          <c:spPr>
            <a:ln w="28575">
              <a:noFill/>
            </a:ln>
          </c:spPr>
          <c:marker>
            <c:symbol val="x"/>
            <c:size val="5"/>
          </c:marker>
          <c:trendline>
            <c:spPr>
              <a:ln w="25400">
                <a:solidFill>
                  <a:srgbClr val="FFC000"/>
                </a:solidFill>
              </a:ln>
            </c:spPr>
            <c:trendlineType val="linear"/>
            <c:dispRSqr val="0"/>
            <c:dispEq val="0"/>
          </c:trendline>
          <c:xVal>
            <c:numRef>
              <c:f>'Near-bed'!$E$25:$E$26</c:f>
              <c:numCache>
                <c:formatCode>General</c:formatCode>
                <c:ptCount val="2"/>
                <c:pt idx="0">
                  <c:v>2</c:v>
                </c:pt>
                <c:pt idx="1">
                  <c:v>42</c:v>
                </c:pt>
              </c:numCache>
            </c:numRef>
          </c:xVal>
          <c:yVal>
            <c:numRef>
              <c:f>'Near-bed'!$F$25:$F$26</c:f>
              <c:numCache>
                <c:formatCode>0</c:formatCode>
                <c:ptCount val="2"/>
                <c:pt idx="0">
                  <c:v>-11</c:v>
                </c:pt>
                <c:pt idx="1">
                  <c:v>-11</c:v>
                </c:pt>
              </c:numCache>
            </c:numRef>
          </c:yVal>
          <c:smooth val="1"/>
        </c:ser>
        <c:ser>
          <c:idx val="10"/>
          <c:order val="7"/>
          <c:tx>
            <c:v>Near-bed 2</c:v>
          </c:tx>
          <c:spPr>
            <a:ln w="28575">
              <a:noFill/>
            </a:ln>
          </c:spPr>
          <c:marker>
            <c:symbol val="x"/>
            <c:size val="5"/>
          </c:marker>
          <c:trendline>
            <c:trendlineType val="linear"/>
            <c:dispRSqr val="0"/>
            <c:dispEq val="0"/>
          </c:trendline>
          <c:trendline>
            <c:spPr>
              <a:ln w="22225">
                <a:solidFill>
                  <a:srgbClr val="FFC000"/>
                </a:solidFill>
              </a:ln>
            </c:spPr>
            <c:trendlineType val="linear"/>
            <c:dispRSqr val="0"/>
            <c:dispEq val="0"/>
          </c:trendline>
          <c:xVal>
            <c:numRef>
              <c:f>'Near-bed'!$E$27:$E$28</c:f>
              <c:numCache>
                <c:formatCode>General</c:formatCode>
                <c:ptCount val="2"/>
                <c:pt idx="0">
                  <c:v>2</c:v>
                </c:pt>
                <c:pt idx="1">
                  <c:v>42</c:v>
                </c:pt>
              </c:numCache>
            </c:numRef>
          </c:xVal>
          <c:yVal>
            <c:numRef>
              <c:f>'Near-bed'!$F$27:$F$28</c:f>
              <c:numCache>
                <c:formatCode>0</c:formatCode>
                <c:ptCount val="2"/>
                <c:pt idx="0">
                  <c:v>-18</c:v>
                </c:pt>
                <c:pt idx="1">
                  <c:v>-18</c:v>
                </c:pt>
              </c:numCache>
            </c:numRef>
          </c:yVal>
          <c:smooth val="1"/>
        </c:ser>
        <c:ser>
          <c:idx val="8"/>
          <c:order val="8"/>
          <c:tx>
            <c:v>Near-bed</c:v>
          </c:tx>
          <c:spPr>
            <a:ln w="28575">
              <a:noFill/>
            </a:ln>
          </c:spPr>
          <c:marker>
            <c:symbol val="star"/>
            <c:size val="4"/>
            <c:spPr>
              <a:ln w="15875">
                <a:solidFill>
                  <a:srgbClr val="FF0000"/>
                </a:solidFill>
              </a:ln>
            </c:spPr>
          </c:marker>
          <c:xVal>
            <c:numRef>
              <c:f>'Near-bed'!$A$46:$A$55</c:f>
              <c:numCache>
                <c:formatCode>General</c:formatCode>
                <c:ptCount val="10"/>
                <c:pt idx="0">
                  <c:v>2</c:v>
                </c:pt>
                <c:pt idx="1">
                  <c:v>5</c:v>
                </c:pt>
                <c:pt idx="2">
                  <c:v>10</c:v>
                </c:pt>
                <c:pt idx="3">
                  <c:v>15</c:v>
                </c:pt>
                <c:pt idx="4">
                  <c:v>20</c:v>
                </c:pt>
                <c:pt idx="5">
                  <c:v>25</c:v>
                </c:pt>
                <c:pt idx="6">
                  <c:v>30</c:v>
                </c:pt>
                <c:pt idx="7">
                  <c:v>35</c:v>
                </c:pt>
                <c:pt idx="8">
                  <c:v>40</c:v>
                </c:pt>
              </c:numCache>
            </c:numRef>
          </c:xVal>
          <c:yVal>
            <c:numRef>
              <c:f>'Near-bed'!$B$46:$B$55</c:f>
              <c:numCache>
                <c:formatCode>0</c:formatCode>
                <c:ptCount val="10"/>
                <c:pt idx="0">
                  <c:v>-7.5046652157174876</c:v>
                </c:pt>
                <c:pt idx="1">
                  <c:v>-11.865917579353061</c:v>
                </c:pt>
                <c:pt idx="2">
                  <c:v>-16.780941570722426</c:v>
                </c:pt>
                <c:pt idx="3">
                  <c:v>-20.55237212586421</c:v>
                </c:pt>
                <c:pt idx="4">
                  <c:v>-23.731835158706122</c:v>
                </c:pt>
                <c:pt idx="5">
                  <c:v>-26.532998322843202</c:v>
                </c:pt>
                <c:pt idx="6">
                  <c:v>-29.065443399335919</c:v>
                </c:pt>
                <c:pt idx="7">
                  <c:v>-31.394266992557732</c:v>
                </c:pt>
                <c:pt idx="8">
                  <c:v>-33.561883141444852</c:v>
                </c:pt>
              </c:numCache>
            </c:numRef>
          </c:yVal>
          <c:smooth val="1"/>
        </c:ser>
        <c:dLbls>
          <c:showLegendKey val="0"/>
          <c:showVal val="0"/>
          <c:showCatName val="0"/>
          <c:showSerName val="0"/>
          <c:showPercent val="0"/>
          <c:showBubbleSize val="0"/>
        </c:dLbls>
        <c:axId val="149742336"/>
        <c:axId val="149744640"/>
      </c:scatterChart>
      <c:valAx>
        <c:axId val="149742336"/>
        <c:scaling>
          <c:orientation val="minMax"/>
          <c:max val="42"/>
          <c:min val="2"/>
        </c:scaling>
        <c:delete val="0"/>
        <c:axPos val="b"/>
        <c:majorGridlines/>
        <c:title>
          <c:tx>
            <c:rich>
              <a:bodyPr/>
              <a:lstStyle/>
              <a:p>
                <a:pPr>
                  <a:defRPr sz="1000"/>
                </a:pPr>
                <a:r>
                  <a:rPr lang="en-US" sz="1000" b="1" i="0" baseline="0">
                    <a:effectLst/>
                  </a:rPr>
                  <a:t>h/</a:t>
                </a:r>
                <a:r>
                  <a:rPr lang="el-GR" sz="1000" b="1" i="0" baseline="0">
                    <a:effectLst/>
                  </a:rPr>
                  <a:t>Δ</a:t>
                </a:r>
                <a:r>
                  <a:rPr lang="en-US" sz="1000" b="1" i="0" baseline="0">
                    <a:effectLst/>
                  </a:rPr>
                  <a:t>D50</a:t>
                </a:r>
                <a:endParaRPr lang="fr-FR" sz="1000">
                  <a:effectLst/>
                </a:endParaRPr>
              </a:p>
            </c:rich>
          </c:tx>
          <c:layout>
            <c:manualLayout>
              <c:xMode val="edge"/>
              <c:yMode val="edge"/>
              <c:x val="0.42766654185533387"/>
              <c:y val="0.8171093393200064"/>
            </c:manualLayout>
          </c:layout>
          <c:overlay val="0"/>
        </c:title>
        <c:numFmt formatCode="0" sourceLinked="0"/>
        <c:majorTickMark val="out"/>
        <c:minorTickMark val="none"/>
        <c:tickLblPos val="nextTo"/>
        <c:crossAx val="149744640"/>
        <c:crossesAt val="-60"/>
        <c:crossBetween val="midCat"/>
      </c:valAx>
      <c:valAx>
        <c:axId val="149744640"/>
        <c:scaling>
          <c:orientation val="minMax"/>
          <c:max val="3"/>
          <c:min val="-40"/>
        </c:scaling>
        <c:delete val="0"/>
        <c:axPos val="l"/>
        <c:majorGridlines/>
        <c:title>
          <c:tx>
            <c:rich>
              <a:bodyPr rot="-5400000" vert="horz"/>
              <a:lstStyle/>
              <a:p>
                <a:pPr>
                  <a:defRPr/>
                </a:pPr>
                <a:r>
                  <a:rPr lang="en-US"/>
                  <a:t>Rc/D50</a:t>
                </a:r>
              </a:p>
            </c:rich>
          </c:tx>
          <c:layout>
            <c:manualLayout>
              <c:xMode val="edge"/>
              <c:yMode val="edge"/>
              <c:x val="1.4571946211542588E-2"/>
              <c:y val="0.39644867308253134"/>
            </c:manualLayout>
          </c:layout>
          <c:overlay val="0"/>
        </c:title>
        <c:numFmt formatCode="General" sourceLinked="1"/>
        <c:majorTickMark val="none"/>
        <c:minorTickMark val="none"/>
        <c:tickLblPos val="nextTo"/>
        <c:crossAx val="149742336"/>
        <c:crossesAt val="1"/>
        <c:crossBetween val="midCat"/>
      </c:valAx>
    </c:plotArea>
    <c:legend>
      <c:legendPos val="b"/>
      <c:legendEntry>
        <c:idx val="5"/>
        <c:delete val="1"/>
      </c:legendEntry>
      <c:legendEntry>
        <c:idx val="6"/>
        <c:delete val="1"/>
      </c:legendEntry>
      <c:legendEntry>
        <c:idx val="7"/>
        <c:delete val="1"/>
      </c:legendEntry>
      <c:legendEntry>
        <c:idx val="9"/>
        <c:delete val="1"/>
      </c:legendEntry>
      <c:legendEntry>
        <c:idx val="10"/>
        <c:delete val="1"/>
      </c:legendEntry>
      <c:legendEntry>
        <c:idx val="11"/>
        <c:delete val="1"/>
      </c:legendEntry>
      <c:legendEntry>
        <c:idx val="12"/>
        <c:delete val="1"/>
      </c:legendEntry>
      <c:layout>
        <c:manualLayout>
          <c:xMode val="edge"/>
          <c:yMode val="edge"/>
          <c:x val="0.19533483540393931"/>
          <c:y val="0.87868029074981968"/>
          <c:w val="0.65267919191100177"/>
          <c:h val="9.6899585664999427E-2"/>
        </c:manualLayout>
      </c:layout>
      <c:overlay val="0"/>
      <c:spPr>
        <a:solidFill>
          <a:schemeClr val="bg1"/>
        </a:solidFill>
        <a:ln>
          <a:solidFill>
            <a:srgbClr val="0070C0"/>
          </a:solidFill>
        </a:ln>
      </c:spPr>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3" Type="http://schemas.openxmlformats.org/officeDocument/2006/relationships/image" Target="../media/image2.png"/><Relationship Id="rId7" Type="http://schemas.openxmlformats.org/officeDocument/2006/relationships/image" Target="../media/image6.png"/><Relationship Id="rId12" Type="http://schemas.openxmlformats.org/officeDocument/2006/relationships/image" Target="../media/image11.png"/><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3.xml"/><Relationship Id="rId5" Type="http://schemas.openxmlformats.org/officeDocument/2006/relationships/image" Target="../media/image4.png"/><Relationship Id="rId10" Type="http://schemas.openxmlformats.org/officeDocument/2006/relationships/image" Target="../media/image10.jpeg"/><Relationship Id="rId4" Type="http://schemas.openxmlformats.org/officeDocument/2006/relationships/image" Target="../media/image3.JPG"/><Relationship Id="rId9" Type="http://schemas.openxmlformats.org/officeDocument/2006/relationships/chart" Target="../charts/chart2.xml"/></Relationships>
</file>

<file path=xl/drawings/_rels/drawing10.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11.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2.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2.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image" Target="../media/image14.JPG"/><Relationship Id="rId1" Type="http://schemas.openxmlformats.org/officeDocument/2006/relationships/image" Target="../media/image13.JPG"/></Relationships>
</file>

<file path=xl/drawings/_rels/drawing6.xml.rels><?xml version="1.0" encoding="UTF-8" standalone="yes"?>
<Relationships xmlns="http://schemas.openxmlformats.org/package/2006/relationships"><Relationship Id="rId1" Type="http://schemas.openxmlformats.org/officeDocument/2006/relationships/chart" Target="../charts/chart9.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10" Type="http://schemas.openxmlformats.org/officeDocument/2006/relationships/chart" Target="../charts/chart28.xml"/><Relationship Id="rId4" Type="http://schemas.openxmlformats.org/officeDocument/2006/relationships/chart" Target="../charts/chart22.xml"/><Relationship Id="rId9"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xdr:from>
      <xdr:col>0</xdr:col>
      <xdr:colOff>209550</xdr:colOff>
      <xdr:row>10</xdr:row>
      <xdr:rowOff>114299</xdr:rowOff>
    </xdr:from>
    <xdr:to>
      <xdr:col>6</xdr:col>
      <xdr:colOff>77262</xdr:colOff>
      <xdr:row>27</xdr:row>
      <xdr:rowOff>133350</xdr:rowOff>
    </xdr:to>
    <xdr:grpSp>
      <xdr:nvGrpSpPr>
        <xdr:cNvPr id="2" name="Groupe 1"/>
        <xdr:cNvGrpSpPr/>
      </xdr:nvGrpSpPr>
      <xdr:grpSpPr>
        <a:xfrm>
          <a:off x="209550" y="21802724"/>
          <a:ext cx="4439712" cy="3257551"/>
          <a:chOff x="209550" y="15455326"/>
          <a:chExt cx="5229226" cy="3667126"/>
        </a:xfrm>
      </xdr:grpSpPr>
      <xdr:graphicFrame macro="">
        <xdr:nvGraphicFramePr>
          <xdr:cNvPr id="9" name="Graphique 8"/>
          <xdr:cNvGraphicFramePr>
            <a:graphicFrameLocks/>
          </xdr:cNvGraphicFramePr>
        </xdr:nvGraphicFramePr>
        <xdr:xfrm>
          <a:off x="209550" y="15455326"/>
          <a:ext cx="5229226" cy="3667126"/>
        </xdr:xfrm>
        <a:graphic>
          <a:graphicData uri="http://schemas.openxmlformats.org/drawingml/2006/chart">
            <c:chart xmlns:c="http://schemas.openxmlformats.org/drawingml/2006/chart" xmlns:r="http://schemas.openxmlformats.org/officeDocument/2006/relationships" r:id="rId1"/>
          </a:graphicData>
        </a:graphic>
      </xdr:graphicFrame>
      <xdr:pic>
        <xdr:nvPicPr>
          <xdr:cNvPr id="3" name="Image 2"/>
          <xdr:cNvPicPr>
            <a:picLocks noChangeAspect="1"/>
          </xdr:cNvPicPr>
        </xdr:nvPicPr>
        <xdr:blipFill>
          <a:blip xmlns:r="http://schemas.openxmlformats.org/officeDocument/2006/relationships" r:embed="rId2"/>
          <a:stretch>
            <a:fillRect/>
          </a:stretch>
        </xdr:blipFill>
        <xdr:spPr>
          <a:xfrm>
            <a:off x="1682097" y="17517617"/>
            <a:ext cx="768163" cy="201185"/>
          </a:xfrm>
          <a:prstGeom prst="rect">
            <a:avLst/>
          </a:prstGeom>
        </xdr:spPr>
      </xdr:pic>
      <xdr:pic>
        <xdr:nvPicPr>
          <xdr:cNvPr id="5" name="Image 4"/>
          <xdr:cNvPicPr>
            <a:picLocks noChangeAspect="1"/>
          </xdr:cNvPicPr>
        </xdr:nvPicPr>
        <xdr:blipFill>
          <a:blip xmlns:r="http://schemas.openxmlformats.org/officeDocument/2006/relationships" r:embed="rId3"/>
          <a:stretch>
            <a:fillRect/>
          </a:stretch>
        </xdr:blipFill>
        <xdr:spPr>
          <a:xfrm>
            <a:off x="4344015" y="16364981"/>
            <a:ext cx="768163" cy="201185"/>
          </a:xfrm>
          <a:prstGeom prst="rect">
            <a:avLst/>
          </a:prstGeom>
        </xdr:spPr>
      </xdr:pic>
    </xdr:grpSp>
    <xdr:clientData/>
  </xdr:twoCellAnchor>
  <xdr:twoCellAnchor editAs="oneCell">
    <xdr:from>
      <xdr:col>0</xdr:col>
      <xdr:colOff>676275</xdr:colOff>
      <xdr:row>6</xdr:row>
      <xdr:rowOff>381000</xdr:rowOff>
    </xdr:from>
    <xdr:to>
      <xdr:col>5</xdr:col>
      <xdr:colOff>266699</xdr:colOff>
      <xdr:row>6</xdr:row>
      <xdr:rowOff>2617433</xdr:rowOff>
    </xdr:to>
    <xdr:pic>
      <xdr:nvPicPr>
        <xdr:cNvPr id="7" name="Imag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76275" y="8715375"/>
          <a:ext cx="3400424" cy="2236433"/>
        </a:xfrm>
        <a:prstGeom prst="rect">
          <a:avLst/>
        </a:prstGeom>
      </xdr:spPr>
    </xdr:pic>
    <xdr:clientData/>
  </xdr:twoCellAnchor>
  <xdr:twoCellAnchor editAs="oneCell">
    <xdr:from>
      <xdr:col>0</xdr:col>
      <xdr:colOff>142875</xdr:colOff>
      <xdr:row>37</xdr:row>
      <xdr:rowOff>166656</xdr:rowOff>
    </xdr:from>
    <xdr:to>
      <xdr:col>3</xdr:col>
      <xdr:colOff>629618</xdr:colOff>
      <xdr:row>37</xdr:row>
      <xdr:rowOff>902893</xdr:rowOff>
    </xdr:to>
    <xdr:pic>
      <xdr:nvPicPr>
        <xdr:cNvPr id="6" name="Image 5"/>
        <xdr:cNvPicPr>
          <a:picLocks noChangeAspect="1"/>
        </xdr:cNvPicPr>
      </xdr:nvPicPr>
      <xdr:blipFill>
        <a:blip xmlns:r="http://schemas.openxmlformats.org/officeDocument/2006/relationships" r:embed="rId5"/>
        <a:stretch>
          <a:fillRect/>
        </a:stretch>
      </xdr:blipFill>
      <xdr:spPr>
        <a:xfrm>
          <a:off x="142875" y="40209756"/>
          <a:ext cx="2772743" cy="736237"/>
        </a:xfrm>
        <a:prstGeom prst="rect">
          <a:avLst/>
        </a:prstGeom>
      </xdr:spPr>
    </xdr:pic>
    <xdr:clientData/>
  </xdr:twoCellAnchor>
  <xdr:twoCellAnchor editAs="oneCell">
    <xdr:from>
      <xdr:col>2</xdr:col>
      <xdr:colOff>419100</xdr:colOff>
      <xdr:row>37</xdr:row>
      <xdr:rowOff>1062075</xdr:rowOff>
    </xdr:from>
    <xdr:to>
      <xdr:col>7</xdr:col>
      <xdr:colOff>447676</xdr:colOff>
      <xdr:row>37</xdr:row>
      <xdr:rowOff>1668031</xdr:rowOff>
    </xdr:to>
    <xdr:pic>
      <xdr:nvPicPr>
        <xdr:cNvPr id="81" name="Image 80"/>
        <xdr:cNvPicPr>
          <a:picLocks noChangeAspect="1"/>
        </xdr:cNvPicPr>
      </xdr:nvPicPr>
      <xdr:blipFill>
        <a:blip xmlns:r="http://schemas.openxmlformats.org/officeDocument/2006/relationships" r:embed="rId6"/>
        <a:stretch>
          <a:fillRect/>
        </a:stretch>
      </xdr:blipFill>
      <xdr:spPr>
        <a:xfrm>
          <a:off x="1943100" y="40571775"/>
          <a:ext cx="3838576" cy="605956"/>
        </a:xfrm>
        <a:prstGeom prst="rect">
          <a:avLst/>
        </a:prstGeom>
      </xdr:spPr>
    </xdr:pic>
    <xdr:clientData/>
  </xdr:twoCellAnchor>
  <xdr:twoCellAnchor editAs="oneCell">
    <xdr:from>
      <xdr:col>0</xdr:col>
      <xdr:colOff>133351</xdr:colOff>
      <xdr:row>32</xdr:row>
      <xdr:rowOff>38100</xdr:rowOff>
    </xdr:from>
    <xdr:to>
      <xdr:col>6</xdr:col>
      <xdr:colOff>333375</xdr:colOff>
      <xdr:row>32</xdr:row>
      <xdr:rowOff>3409162</xdr:rowOff>
    </xdr:to>
    <xdr:pic>
      <xdr:nvPicPr>
        <xdr:cNvPr id="10" name="Image 9"/>
        <xdr:cNvPicPr>
          <a:picLocks noChangeAspect="1"/>
        </xdr:cNvPicPr>
      </xdr:nvPicPr>
      <xdr:blipFill>
        <a:blip xmlns:r="http://schemas.openxmlformats.org/officeDocument/2006/relationships" r:embed="rId7"/>
        <a:stretch>
          <a:fillRect/>
        </a:stretch>
      </xdr:blipFill>
      <xdr:spPr>
        <a:xfrm>
          <a:off x="133351" y="32661225"/>
          <a:ext cx="4772024" cy="3371062"/>
        </a:xfrm>
        <a:prstGeom prst="rect">
          <a:avLst/>
        </a:prstGeom>
      </xdr:spPr>
    </xdr:pic>
    <xdr:clientData/>
  </xdr:twoCellAnchor>
  <xdr:twoCellAnchor editAs="oneCell">
    <xdr:from>
      <xdr:col>2</xdr:col>
      <xdr:colOff>371474</xdr:colOff>
      <xdr:row>37</xdr:row>
      <xdr:rowOff>2145176</xdr:rowOff>
    </xdr:from>
    <xdr:to>
      <xdr:col>7</xdr:col>
      <xdr:colOff>465609</xdr:colOff>
      <xdr:row>37</xdr:row>
      <xdr:rowOff>2704029</xdr:rowOff>
    </xdr:to>
    <xdr:pic>
      <xdr:nvPicPr>
        <xdr:cNvPr id="31" name="Image 30"/>
        <xdr:cNvPicPr>
          <a:picLocks noChangeAspect="1"/>
        </xdr:cNvPicPr>
      </xdr:nvPicPr>
      <xdr:blipFill>
        <a:blip xmlns:r="http://schemas.openxmlformats.org/officeDocument/2006/relationships" r:embed="rId8"/>
        <a:stretch>
          <a:fillRect/>
        </a:stretch>
      </xdr:blipFill>
      <xdr:spPr>
        <a:xfrm>
          <a:off x="1895474" y="49274876"/>
          <a:ext cx="3904135" cy="558853"/>
        </a:xfrm>
        <a:prstGeom prst="rect">
          <a:avLst/>
        </a:prstGeom>
      </xdr:spPr>
    </xdr:pic>
    <xdr:clientData/>
  </xdr:twoCellAnchor>
  <xdr:twoCellAnchor>
    <xdr:from>
      <xdr:col>1</xdr:col>
      <xdr:colOff>9526</xdr:colOff>
      <xdr:row>56</xdr:row>
      <xdr:rowOff>76201</xdr:rowOff>
    </xdr:from>
    <xdr:to>
      <xdr:col>6</xdr:col>
      <xdr:colOff>152400</xdr:colOff>
      <xdr:row>56</xdr:row>
      <xdr:rowOff>2857501</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1</xdr:col>
      <xdr:colOff>323850</xdr:colOff>
      <xdr:row>42</xdr:row>
      <xdr:rowOff>93413</xdr:rowOff>
    </xdr:from>
    <xdr:to>
      <xdr:col>6</xdr:col>
      <xdr:colOff>180975</xdr:colOff>
      <xdr:row>42</xdr:row>
      <xdr:rowOff>2859900</xdr:rowOff>
    </xdr:to>
    <xdr:pic>
      <xdr:nvPicPr>
        <xdr:cNvPr id="4" name="Image 3"/>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85850" y="51395063"/>
          <a:ext cx="3667125" cy="2766487"/>
        </a:xfrm>
        <a:prstGeom prst="rect">
          <a:avLst/>
        </a:prstGeom>
      </xdr:spPr>
    </xdr:pic>
    <xdr:clientData/>
  </xdr:twoCellAnchor>
  <xdr:twoCellAnchor>
    <xdr:from>
      <xdr:col>0</xdr:col>
      <xdr:colOff>542926</xdr:colOff>
      <xdr:row>53</xdr:row>
      <xdr:rowOff>104776</xdr:rowOff>
    </xdr:from>
    <xdr:to>
      <xdr:col>6</xdr:col>
      <xdr:colOff>314326</xdr:colOff>
      <xdr:row>53</xdr:row>
      <xdr:rowOff>3209925</xdr:rowOff>
    </xdr:to>
    <xdr:grpSp>
      <xdr:nvGrpSpPr>
        <xdr:cNvPr id="18" name="Groupe 17"/>
        <xdr:cNvGrpSpPr/>
      </xdr:nvGrpSpPr>
      <xdr:grpSpPr>
        <a:xfrm>
          <a:off x="542926" y="57854851"/>
          <a:ext cx="4343400" cy="3105149"/>
          <a:chOff x="542926" y="57854851"/>
          <a:chExt cx="4343400" cy="3105149"/>
        </a:xfrm>
      </xdr:grpSpPr>
      <xdr:graphicFrame macro="">
        <xdr:nvGraphicFramePr>
          <xdr:cNvPr id="12" name="Graphique 11"/>
          <xdr:cNvGraphicFramePr>
            <a:graphicFrameLocks/>
          </xdr:cNvGraphicFramePr>
        </xdr:nvGraphicFramePr>
        <xdr:xfrm>
          <a:off x="542926" y="57854851"/>
          <a:ext cx="4343400" cy="3105149"/>
        </xdr:xfrm>
        <a:graphic>
          <a:graphicData uri="http://schemas.openxmlformats.org/drawingml/2006/chart">
            <c:chart xmlns:c="http://schemas.openxmlformats.org/drawingml/2006/chart" xmlns:r="http://schemas.openxmlformats.org/officeDocument/2006/relationships" r:id="rId11"/>
          </a:graphicData>
        </a:graphic>
      </xdr:graphicFrame>
      <xdr:pic>
        <xdr:nvPicPr>
          <xdr:cNvPr id="11" name="Image 10"/>
          <xdr:cNvPicPr>
            <a:picLocks noChangeAspect="1"/>
          </xdr:cNvPicPr>
        </xdr:nvPicPr>
        <xdr:blipFill>
          <a:blip xmlns:r="http://schemas.openxmlformats.org/officeDocument/2006/relationships" r:embed="rId12"/>
          <a:stretch>
            <a:fillRect/>
          </a:stretch>
        </xdr:blipFill>
        <xdr:spPr>
          <a:xfrm>
            <a:off x="3876675" y="58445400"/>
            <a:ext cx="652329" cy="176799"/>
          </a:xfrm>
          <a:prstGeom prst="rect">
            <a:avLst/>
          </a:prstGeom>
        </xdr:spPr>
      </xdr:pic>
      <xdr:pic>
        <xdr:nvPicPr>
          <xdr:cNvPr id="17" name="Image 16"/>
          <xdr:cNvPicPr>
            <a:picLocks noChangeAspect="1"/>
          </xdr:cNvPicPr>
        </xdr:nvPicPr>
        <xdr:blipFill>
          <a:blip xmlns:r="http://schemas.openxmlformats.org/officeDocument/2006/relationships" r:embed="rId13"/>
          <a:stretch>
            <a:fillRect/>
          </a:stretch>
        </xdr:blipFill>
        <xdr:spPr>
          <a:xfrm>
            <a:off x="2038350" y="59397900"/>
            <a:ext cx="652329" cy="176799"/>
          </a:xfrm>
          <a:prstGeom prst="rect">
            <a:avLst/>
          </a:prstGeom>
        </xdr:spPr>
      </xdr:pic>
    </xdr:grpSp>
    <xdr:clientData/>
  </xdr:twoCellAnchor>
</xdr:wsDr>
</file>

<file path=xl/drawings/drawing10.xml><?xml version="1.0" encoding="utf-8"?>
<c:userShapes xmlns:c="http://schemas.openxmlformats.org/drawingml/2006/chart">
  <cdr:relSizeAnchor xmlns:cdr="http://schemas.openxmlformats.org/drawingml/2006/chartDrawing">
    <cdr:from>
      <cdr:x>0.82522</cdr:x>
      <cdr:y>0.13214</cdr:y>
    </cdr:from>
    <cdr:to>
      <cdr:x>0.95649</cdr:x>
      <cdr:y>0.77025</cdr:y>
    </cdr:to>
    <cdr:grpSp>
      <cdr:nvGrpSpPr>
        <cdr:cNvPr id="7" name="Groupe 6"/>
        <cdr:cNvGrpSpPr/>
      </cdr:nvGrpSpPr>
      <cdr:grpSpPr>
        <a:xfrm xmlns:a="http://schemas.openxmlformats.org/drawingml/2006/main">
          <a:off x="4841895" y="667076"/>
          <a:ext cx="770213" cy="3221339"/>
          <a:chOff x="4841875" y="631825"/>
          <a:chExt cx="770255" cy="3051175"/>
        </a:xfrm>
      </cdr:grpSpPr>
      <cdr:pic>
        <cdr:nvPicPr>
          <cdr:cNvPr id="5" name="Image 4"/>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975225" y="631825"/>
            <a:ext cx="465455" cy="203200"/>
          </a:xfrm>
          <a:prstGeom xmlns:a="http://schemas.openxmlformats.org/drawingml/2006/main" prst="rect">
            <a:avLst/>
          </a:prstGeom>
          <a:noFill xmlns:a="http://schemas.openxmlformats.org/drawingml/2006/main"/>
          <a:ln xmlns:a="http://schemas.openxmlformats.org/drawingml/2006/main">
            <a:noFill/>
          </a:ln>
        </cdr:spPr>
      </cdr:pic>
      <cdr:pic>
        <cdr:nvPicPr>
          <cdr:cNvPr id="6" name="Image 5"/>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841875" y="3479800"/>
            <a:ext cx="770255" cy="203200"/>
          </a:xfrm>
          <a:prstGeom xmlns:a="http://schemas.openxmlformats.org/drawingml/2006/main" prst="rect">
            <a:avLst/>
          </a:prstGeom>
          <a:noFill xmlns:a="http://schemas.openxmlformats.org/drawingml/2006/main"/>
          <a:ln xmlns:a="http://schemas.openxmlformats.org/drawingml/2006/main">
            <a:noFill/>
          </a:ln>
        </cdr:spPr>
      </cdr:pic>
    </cdr:grpSp>
  </cdr:relSizeAnchor>
  <cdr:relSizeAnchor xmlns:cdr="http://schemas.openxmlformats.org/drawingml/2006/chartDrawing">
    <cdr:from>
      <cdr:x>0.82522</cdr:x>
      <cdr:y>0.13214</cdr:y>
    </cdr:from>
    <cdr:to>
      <cdr:x>0.95649</cdr:x>
      <cdr:y>0.77025</cdr:y>
    </cdr:to>
    <cdr:grpSp>
      <cdr:nvGrpSpPr>
        <cdr:cNvPr id="8" name="Groupe 6"/>
        <cdr:cNvGrpSpPr/>
      </cdr:nvGrpSpPr>
      <cdr:grpSpPr>
        <a:xfrm xmlns:a="http://schemas.openxmlformats.org/drawingml/2006/main">
          <a:off x="4841895" y="667076"/>
          <a:ext cx="770213" cy="3221339"/>
          <a:chOff x="4841875" y="631825"/>
          <a:chExt cx="770255" cy="3051175"/>
        </a:xfrm>
      </cdr:grpSpPr>
      <cdr:pic>
        <cdr:nvPicPr>
          <cdr:cNvPr id="9" name="Image 4"/>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975225" y="631825"/>
            <a:ext cx="465455" cy="203200"/>
          </a:xfrm>
          <a:prstGeom xmlns:a="http://schemas.openxmlformats.org/drawingml/2006/main" prst="rect">
            <a:avLst/>
          </a:prstGeom>
          <a:noFill xmlns:a="http://schemas.openxmlformats.org/drawingml/2006/main"/>
          <a:ln xmlns:a="http://schemas.openxmlformats.org/drawingml/2006/main">
            <a:noFill/>
          </a:ln>
        </cdr:spPr>
      </cdr:pic>
      <cdr:pic>
        <cdr:nvPicPr>
          <cdr:cNvPr id="10" name="Image 5"/>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841875" y="3479800"/>
            <a:ext cx="770255" cy="203200"/>
          </a:xfrm>
          <a:prstGeom xmlns:a="http://schemas.openxmlformats.org/drawingml/2006/main" prst="rect">
            <a:avLst/>
          </a:prstGeom>
          <a:noFill xmlns:a="http://schemas.openxmlformats.org/drawingml/2006/main"/>
          <a:ln xmlns:a="http://schemas.openxmlformats.org/drawingml/2006/main">
            <a:noFill/>
          </a:ln>
        </cdr:spPr>
      </cdr:pic>
    </cdr:grpSp>
  </cdr:relSizeAnchor>
</c:userShapes>
</file>

<file path=xl/drawings/drawing11.xml><?xml version="1.0" encoding="utf-8"?>
<xdr:wsDr xmlns:xdr="http://schemas.openxmlformats.org/drawingml/2006/spreadsheetDrawing" xmlns:a="http://schemas.openxmlformats.org/drawingml/2006/main">
  <xdr:twoCellAnchor>
    <xdr:from>
      <xdr:col>0</xdr:col>
      <xdr:colOff>314325</xdr:colOff>
      <xdr:row>39</xdr:row>
      <xdr:rowOff>180975</xdr:rowOff>
    </xdr:from>
    <xdr:to>
      <xdr:col>7</xdr:col>
      <xdr:colOff>161926</xdr:colOff>
      <xdr:row>61</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87</xdr:row>
      <xdr:rowOff>180975</xdr:rowOff>
    </xdr:from>
    <xdr:to>
      <xdr:col>7</xdr:col>
      <xdr:colOff>285749</xdr:colOff>
      <xdr:row>113</xdr:row>
      <xdr:rowOff>9525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0.12067</cdr:x>
      <cdr:y>0.13214</cdr:y>
    </cdr:from>
    <cdr:to>
      <cdr:x>0.25194</cdr:x>
      <cdr:y>0.81275</cdr:y>
    </cdr:to>
    <cdr:grpSp>
      <cdr:nvGrpSpPr>
        <cdr:cNvPr id="8" name="Groupe 6"/>
        <cdr:cNvGrpSpPr/>
      </cdr:nvGrpSpPr>
      <cdr:grpSpPr>
        <a:xfrm xmlns:a="http://schemas.openxmlformats.org/drawingml/2006/main">
          <a:off x="679284" y="660783"/>
          <a:ext cx="738955" cy="3403475"/>
          <a:chOff x="4956181" y="631825"/>
          <a:chExt cx="770255" cy="3051175"/>
        </a:xfrm>
      </cdr:grpSpPr>
      <cdr:pic>
        <cdr:nvPicPr>
          <cdr:cNvPr id="9" name="Image 4"/>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975225" y="631825"/>
            <a:ext cx="465455" cy="203200"/>
          </a:xfrm>
          <a:prstGeom xmlns:a="http://schemas.openxmlformats.org/drawingml/2006/main" prst="rect">
            <a:avLst/>
          </a:prstGeom>
          <a:noFill xmlns:a="http://schemas.openxmlformats.org/drawingml/2006/main"/>
          <a:ln xmlns:a="http://schemas.openxmlformats.org/drawingml/2006/main">
            <a:noFill/>
          </a:ln>
        </cdr:spPr>
      </cdr:pic>
      <cdr:pic>
        <cdr:nvPicPr>
          <cdr:cNvPr id="10" name="Image 5"/>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956181" y="3479800"/>
            <a:ext cx="770255" cy="203200"/>
          </a:xfrm>
          <a:prstGeom xmlns:a="http://schemas.openxmlformats.org/drawingml/2006/main" prst="rect">
            <a:avLst/>
          </a:prstGeom>
          <a:noFill xmlns:a="http://schemas.openxmlformats.org/drawingml/2006/main"/>
          <a:ln xmlns:a="http://schemas.openxmlformats.org/drawingml/2006/main">
            <a:noFill/>
          </a:ln>
        </cdr:spPr>
      </cdr:pic>
    </cdr:grpSp>
  </cdr:relSizeAnchor>
</c:userShapes>
</file>

<file path=xl/drawings/drawing13.xml><?xml version="1.0" encoding="utf-8"?>
<xdr:wsDr xmlns:xdr="http://schemas.openxmlformats.org/drawingml/2006/spreadsheetDrawing" xmlns:a="http://schemas.openxmlformats.org/drawingml/2006/main">
  <xdr:twoCellAnchor>
    <xdr:from>
      <xdr:col>3</xdr:col>
      <xdr:colOff>495300</xdr:colOff>
      <xdr:row>1</xdr:row>
      <xdr:rowOff>100012</xdr:rowOff>
    </xdr:from>
    <xdr:to>
      <xdr:col>14</xdr:col>
      <xdr:colOff>609600</xdr:colOff>
      <xdr:row>15</xdr:row>
      <xdr:rowOff>176212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495300</xdr:colOff>
      <xdr:row>27</xdr:row>
      <xdr:rowOff>100012</xdr:rowOff>
    </xdr:from>
    <xdr:to>
      <xdr:col>14</xdr:col>
      <xdr:colOff>609600</xdr:colOff>
      <xdr:row>43</xdr:row>
      <xdr:rowOff>176212</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0.16366</cdr:x>
      <cdr:y>0.01458</cdr:y>
    </cdr:from>
    <cdr:to>
      <cdr:x>0.29493</cdr:x>
      <cdr:y>0.72886</cdr:y>
    </cdr:to>
    <cdr:grpSp>
      <cdr:nvGrpSpPr>
        <cdr:cNvPr id="8" name="Groupe 6"/>
        <cdr:cNvGrpSpPr/>
      </cdr:nvGrpSpPr>
      <cdr:grpSpPr>
        <a:xfrm xmlns:a="http://schemas.openxmlformats.org/drawingml/2006/main">
          <a:off x="646927" y="40551"/>
          <a:ext cx="518894" cy="1986627"/>
          <a:chOff x="4956181" y="631825"/>
          <a:chExt cx="770255" cy="3051175"/>
        </a:xfrm>
      </cdr:grpSpPr>
      <cdr:pic>
        <cdr:nvPicPr>
          <cdr:cNvPr id="9" name="Image 4"/>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975225" y="631825"/>
            <a:ext cx="465455" cy="203200"/>
          </a:xfrm>
          <a:prstGeom xmlns:a="http://schemas.openxmlformats.org/drawingml/2006/main" prst="rect">
            <a:avLst/>
          </a:prstGeom>
          <a:noFill xmlns:a="http://schemas.openxmlformats.org/drawingml/2006/main"/>
          <a:ln xmlns:a="http://schemas.openxmlformats.org/drawingml/2006/main">
            <a:noFill/>
          </a:ln>
        </cdr:spPr>
      </cdr:pic>
      <cdr:pic>
        <cdr:nvPicPr>
          <cdr:cNvPr id="10" name="Image 5"/>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956181" y="3479800"/>
            <a:ext cx="770255" cy="203200"/>
          </a:xfrm>
          <a:prstGeom xmlns:a="http://schemas.openxmlformats.org/drawingml/2006/main" prst="rect">
            <a:avLst/>
          </a:prstGeom>
          <a:noFill xmlns:a="http://schemas.openxmlformats.org/drawingml/2006/main"/>
          <a:ln xmlns:a="http://schemas.openxmlformats.org/drawingml/2006/main">
            <a:noFill/>
          </a:ln>
        </cdr:spPr>
      </cdr:pic>
    </cdr:grpSp>
  </cdr:relSizeAnchor>
</c:userShapes>
</file>

<file path=xl/drawings/drawing3.xml><?xml version="1.0" encoding="utf-8"?>
<xdr:wsDr xmlns:xdr="http://schemas.openxmlformats.org/drawingml/2006/spreadsheetDrawing" xmlns:a="http://schemas.openxmlformats.org/drawingml/2006/main">
  <xdr:twoCellAnchor>
    <xdr:from>
      <xdr:col>3</xdr:col>
      <xdr:colOff>238125</xdr:colOff>
      <xdr:row>5</xdr:row>
      <xdr:rowOff>28575</xdr:rowOff>
    </xdr:from>
    <xdr:to>
      <xdr:col>9</xdr:col>
      <xdr:colOff>238125</xdr:colOff>
      <xdr:row>18</xdr:row>
      <xdr:rowOff>123825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38</xdr:row>
      <xdr:rowOff>95250</xdr:rowOff>
    </xdr:from>
    <xdr:to>
      <xdr:col>10</xdr:col>
      <xdr:colOff>695325</xdr:colOff>
      <xdr:row>57</xdr:row>
      <xdr:rowOff>47625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219075</xdr:colOff>
      <xdr:row>19</xdr:row>
      <xdr:rowOff>28575</xdr:rowOff>
    </xdr:from>
    <xdr:to>
      <xdr:col>9</xdr:col>
      <xdr:colOff>219075</xdr:colOff>
      <xdr:row>32</xdr:row>
      <xdr:rowOff>114300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361950</xdr:colOff>
      <xdr:row>111</xdr:row>
      <xdr:rowOff>47626</xdr:rowOff>
    </xdr:from>
    <xdr:to>
      <xdr:col>15</xdr:col>
      <xdr:colOff>276226</xdr:colOff>
      <xdr:row>127</xdr:row>
      <xdr:rowOff>47626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152401</xdr:colOff>
      <xdr:row>37</xdr:row>
      <xdr:rowOff>19050</xdr:rowOff>
    </xdr:from>
    <xdr:to>
      <xdr:col>15</xdr:col>
      <xdr:colOff>704851</xdr:colOff>
      <xdr:row>59</xdr:row>
      <xdr:rowOff>114300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12</xdr:row>
      <xdr:rowOff>9525</xdr:rowOff>
    </xdr:from>
    <xdr:to>
      <xdr:col>7</xdr:col>
      <xdr:colOff>32705</xdr:colOff>
      <xdr:row>29</xdr:row>
      <xdr:rowOff>47625</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2295525"/>
          <a:ext cx="4871405" cy="3276600"/>
        </a:xfrm>
        <a:prstGeom prst="rect">
          <a:avLst/>
        </a:prstGeom>
      </xdr:spPr>
    </xdr:pic>
    <xdr:clientData/>
  </xdr:twoCellAnchor>
  <xdr:twoCellAnchor editAs="oneCell">
    <xdr:from>
      <xdr:col>7</xdr:col>
      <xdr:colOff>169050</xdr:colOff>
      <xdr:row>2</xdr:row>
      <xdr:rowOff>102375</xdr:rowOff>
    </xdr:from>
    <xdr:to>
      <xdr:col>11</xdr:col>
      <xdr:colOff>540525</xdr:colOff>
      <xdr:row>29</xdr:row>
      <xdr:rowOff>92850</xdr:rowOff>
    </xdr:to>
    <xdr:pic>
      <xdr:nvPicPr>
        <xdr:cNvPr id="3" name="Imag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112525" y="483375"/>
          <a:ext cx="3419475" cy="5133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285750</xdr:colOff>
      <xdr:row>38</xdr:row>
      <xdr:rowOff>66675</xdr:rowOff>
    </xdr:from>
    <xdr:to>
      <xdr:col>11</xdr:col>
      <xdr:colOff>180976</xdr:colOff>
      <xdr:row>61</xdr:row>
      <xdr:rowOff>171450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95251</xdr:colOff>
      <xdr:row>15</xdr:row>
      <xdr:rowOff>19050</xdr:rowOff>
    </xdr:from>
    <xdr:to>
      <xdr:col>5</xdr:col>
      <xdr:colOff>438151</xdr:colOff>
      <xdr:row>28</xdr:row>
      <xdr:rowOff>176212</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9526</xdr:colOff>
      <xdr:row>15</xdr:row>
      <xdr:rowOff>9525</xdr:rowOff>
    </xdr:from>
    <xdr:to>
      <xdr:col>12</xdr:col>
      <xdr:colOff>523876</xdr:colOff>
      <xdr:row>28</xdr:row>
      <xdr:rowOff>166687</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342900</xdr:colOff>
      <xdr:row>2</xdr:row>
      <xdr:rowOff>14287</xdr:rowOff>
    </xdr:from>
    <xdr:to>
      <xdr:col>16</xdr:col>
      <xdr:colOff>752475</xdr:colOff>
      <xdr:row>16</xdr:row>
      <xdr:rowOff>61912</xdr:rowOff>
    </xdr:to>
    <xdr:graphicFrame macro="">
      <xdr:nvGraphicFramePr>
        <xdr:cNvPr id="7" name="Graphique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114301</xdr:colOff>
      <xdr:row>15</xdr:row>
      <xdr:rowOff>95250</xdr:rowOff>
    </xdr:from>
    <xdr:to>
      <xdr:col>5</xdr:col>
      <xdr:colOff>457201</xdr:colOff>
      <xdr:row>29</xdr:row>
      <xdr:rowOff>61912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171450</xdr:colOff>
      <xdr:row>15</xdr:row>
      <xdr:rowOff>57150</xdr:rowOff>
    </xdr:from>
    <xdr:to>
      <xdr:col>26</xdr:col>
      <xdr:colOff>514350</xdr:colOff>
      <xdr:row>29</xdr:row>
      <xdr:rowOff>52387</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85725</xdr:colOff>
      <xdr:row>15</xdr:row>
      <xdr:rowOff>95250</xdr:rowOff>
    </xdr:from>
    <xdr:to>
      <xdr:col>13</xdr:col>
      <xdr:colOff>428625</xdr:colOff>
      <xdr:row>29</xdr:row>
      <xdr:rowOff>61912</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28576</xdr:colOff>
      <xdr:row>15</xdr:row>
      <xdr:rowOff>152400</xdr:rowOff>
    </xdr:from>
    <xdr:to>
      <xdr:col>19</xdr:col>
      <xdr:colOff>285751</xdr:colOff>
      <xdr:row>29</xdr:row>
      <xdr:rowOff>119062</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66675</xdr:colOff>
      <xdr:row>50</xdr:row>
      <xdr:rowOff>28575</xdr:rowOff>
    </xdr:from>
    <xdr:to>
      <xdr:col>5</xdr:col>
      <xdr:colOff>409575</xdr:colOff>
      <xdr:row>63</xdr:row>
      <xdr:rowOff>185737</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114301</xdr:colOff>
      <xdr:row>100</xdr:row>
      <xdr:rowOff>95250</xdr:rowOff>
    </xdr:from>
    <xdr:to>
      <xdr:col>5</xdr:col>
      <xdr:colOff>457201</xdr:colOff>
      <xdr:row>114</xdr:row>
      <xdr:rowOff>61912</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19050</xdr:colOff>
      <xdr:row>41</xdr:row>
      <xdr:rowOff>123825</xdr:rowOff>
    </xdr:from>
    <xdr:to>
      <xdr:col>11</xdr:col>
      <xdr:colOff>704850</xdr:colOff>
      <xdr:row>60</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114300</xdr:colOff>
      <xdr:row>67</xdr:row>
      <xdr:rowOff>85725</xdr:rowOff>
    </xdr:from>
    <xdr:to>
      <xdr:col>9</xdr:col>
      <xdr:colOff>0</xdr:colOff>
      <xdr:row>86</xdr:row>
      <xdr:rowOff>38100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xdr:colOff>
      <xdr:row>67</xdr:row>
      <xdr:rowOff>85725</xdr:rowOff>
    </xdr:from>
    <xdr:to>
      <xdr:col>13</xdr:col>
      <xdr:colOff>742950</xdr:colOff>
      <xdr:row>86</xdr:row>
      <xdr:rowOff>38100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38099</xdr:colOff>
      <xdr:row>133</xdr:row>
      <xdr:rowOff>57150</xdr:rowOff>
    </xdr:from>
    <xdr:to>
      <xdr:col>9</xdr:col>
      <xdr:colOff>295274</xdr:colOff>
      <xdr:row>158</xdr:row>
      <xdr:rowOff>76200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66675</xdr:colOff>
      <xdr:row>47</xdr:row>
      <xdr:rowOff>28575</xdr:rowOff>
    </xdr:from>
    <xdr:to>
      <xdr:col>24</xdr:col>
      <xdr:colOff>390525</xdr:colOff>
      <xdr:row>65</xdr:row>
      <xdr:rowOff>171450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114300</xdr:colOff>
      <xdr:row>67</xdr:row>
      <xdr:rowOff>85725</xdr:rowOff>
    </xdr:from>
    <xdr:to>
      <xdr:col>23</xdr:col>
      <xdr:colOff>0</xdr:colOff>
      <xdr:row>86</xdr:row>
      <xdr:rowOff>38100</xdr:rowOff>
    </xdr:to>
    <xdr:graphicFrame macro="">
      <xdr:nvGraphicFramePr>
        <xdr:cNvPr id="12" name="Graphique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57150</xdr:colOff>
      <xdr:row>67</xdr:row>
      <xdr:rowOff>85725</xdr:rowOff>
    </xdr:from>
    <xdr:to>
      <xdr:col>27</xdr:col>
      <xdr:colOff>742950</xdr:colOff>
      <xdr:row>86</xdr:row>
      <xdr:rowOff>38100</xdr:rowOff>
    </xdr:to>
    <xdr:graphicFrame macro="">
      <xdr:nvGraphicFramePr>
        <xdr:cNvPr id="13" name="Graphique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38099</xdr:colOff>
      <xdr:row>133</xdr:row>
      <xdr:rowOff>57150</xdr:rowOff>
    </xdr:from>
    <xdr:to>
      <xdr:col>23</xdr:col>
      <xdr:colOff>295274</xdr:colOff>
      <xdr:row>158</xdr:row>
      <xdr:rowOff>76200</xdr:rowOff>
    </xdr:to>
    <xdr:graphicFrame macro="">
      <xdr:nvGraphicFramePr>
        <xdr:cNvPr id="14" name="Graphique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666751</xdr:colOff>
      <xdr:row>163</xdr:row>
      <xdr:rowOff>171450</xdr:rowOff>
    </xdr:from>
    <xdr:to>
      <xdr:col>10</xdr:col>
      <xdr:colOff>400050</xdr:colOff>
      <xdr:row>189</xdr:row>
      <xdr:rowOff>0</xdr:rowOff>
    </xdr:to>
    <xdr:graphicFrame macro="">
      <xdr:nvGraphicFramePr>
        <xdr:cNvPr id="16" name="Graphique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29</xdr:col>
      <xdr:colOff>38100</xdr:colOff>
      <xdr:row>133</xdr:row>
      <xdr:rowOff>57150</xdr:rowOff>
    </xdr:from>
    <xdr:to>
      <xdr:col>35</xdr:col>
      <xdr:colOff>428626</xdr:colOff>
      <xdr:row>158</xdr:row>
      <xdr:rowOff>76200</xdr:rowOff>
    </xdr:to>
    <xdr:graphicFrame macro="">
      <xdr:nvGraphicFramePr>
        <xdr:cNvPr id="15" name="Graphique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topLeftCell="A7" zoomScaleNormal="100" workbookViewId="0">
      <selection activeCell="I7" sqref="I7"/>
    </sheetView>
  </sheetViews>
  <sheetFormatPr baseColWidth="10" defaultRowHeight="15" x14ac:dyDescent="0.25"/>
  <cols>
    <col min="10" max="23" width="8.7109375" customWidth="1"/>
  </cols>
  <sheetData>
    <row r="1" spans="1:8" s="36" customFormat="1" ht="29.25" customHeight="1" x14ac:dyDescent="0.25">
      <c r="A1" s="203" t="s">
        <v>484</v>
      </c>
      <c r="B1" s="203"/>
      <c r="C1" s="203"/>
      <c r="D1" s="203"/>
      <c r="E1" s="203"/>
      <c r="F1" s="203"/>
      <c r="G1" s="203"/>
      <c r="H1" s="203"/>
    </row>
    <row r="2" spans="1:8" s="36" customFormat="1" ht="26.25" customHeight="1" x14ac:dyDescent="0.25">
      <c r="A2" s="206" t="s">
        <v>483</v>
      </c>
      <c r="B2" s="206"/>
      <c r="C2" s="206"/>
      <c r="D2" s="206"/>
      <c r="E2" s="206"/>
      <c r="F2" s="206"/>
      <c r="G2" s="206"/>
      <c r="H2" s="206"/>
    </row>
    <row r="3" spans="1:8" s="36" customFormat="1" ht="198" customHeight="1" x14ac:dyDescent="0.25">
      <c r="A3" s="204" t="s">
        <v>509</v>
      </c>
      <c r="B3" s="205"/>
      <c r="C3" s="205"/>
      <c r="D3" s="205"/>
      <c r="E3" s="205"/>
      <c r="F3" s="205"/>
      <c r="G3" s="205"/>
      <c r="H3" s="205"/>
    </row>
    <row r="4" spans="1:8" s="36" customFormat="1" ht="137.25" customHeight="1" x14ac:dyDescent="0.25">
      <c r="A4" s="209"/>
      <c r="B4" s="209"/>
      <c r="C4" s="209"/>
      <c r="D4" s="209"/>
      <c r="E4" s="209"/>
      <c r="F4" s="209"/>
      <c r="G4" s="209"/>
      <c r="H4" s="209"/>
    </row>
    <row r="5" spans="1:8" ht="119.25" customHeight="1" x14ac:dyDescent="0.25">
      <c r="A5" s="206" t="s">
        <v>474</v>
      </c>
      <c r="B5" s="206"/>
      <c r="C5" s="206"/>
      <c r="D5" s="206"/>
      <c r="E5" s="206"/>
      <c r="F5" s="206"/>
      <c r="G5" s="206"/>
      <c r="H5" s="206"/>
    </row>
    <row r="6" spans="1:8" s="36" customFormat="1" ht="146.25" customHeight="1" x14ac:dyDescent="0.25">
      <c r="A6" s="206" t="s">
        <v>462</v>
      </c>
      <c r="B6" s="206"/>
      <c r="C6" s="206"/>
      <c r="D6" s="206"/>
      <c r="E6" s="206"/>
      <c r="F6" s="206"/>
      <c r="G6" s="206"/>
      <c r="H6" s="206"/>
    </row>
    <row r="7" spans="1:8" s="30" customFormat="1" ht="370.5" customHeight="1" x14ac:dyDescent="0.25">
      <c r="A7" s="207" t="s">
        <v>512</v>
      </c>
      <c r="B7" s="206"/>
      <c r="C7" s="206"/>
      <c r="D7" s="206"/>
      <c r="E7" s="206"/>
      <c r="F7" s="206"/>
      <c r="G7" s="206"/>
      <c r="H7" s="206"/>
    </row>
    <row r="8" spans="1:8" s="47" customFormat="1" ht="357.75" customHeight="1" x14ac:dyDescent="0.25">
      <c r="A8" s="206" t="s">
        <v>513</v>
      </c>
      <c r="B8" s="206"/>
      <c r="C8" s="206"/>
      <c r="D8" s="206"/>
      <c r="E8" s="206"/>
      <c r="F8" s="206"/>
      <c r="G8" s="206"/>
      <c r="H8" s="206"/>
    </row>
    <row r="9" spans="1:8" ht="148.5" customHeight="1" x14ac:dyDescent="0.25">
      <c r="A9" s="206" t="s">
        <v>485</v>
      </c>
      <c r="B9" s="206"/>
      <c r="C9" s="206"/>
      <c r="D9" s="206"/>
      <c r="E9" s="206"/>
      <c r="F9" s="206"/>
      <c r="G9" s="206"/>
      <c r="H9" s="206"/>
    </row>
    <row r="10" spans="1:8" ht="174.75" customHeight="1" x14ac:dyDescent="0.25">
      <c r="A10" s="206" t="s">
        <v>514</v>
      </c>
      <c r="B10" s="206"/>
      <c r="C10" s="206"/>
      <c r="D10" s="206"/>
      <c r="E10" s="206"/>
      <c r="F10" s="206"/>
      <c r="G10" s="206"/>
      <c r="H10" s="206"/>
    </row>
    <row r="11" spans="1:8" x14ac:dyDescent="0.25">
      <c r="A11" s="36"/>
      <c r="B11" s="36"/>
      <c r="C11" s="36"/>
      <c r="D11" s="36"/>
      <c r="E11" s="36"/>
      <c r="F11" s="36"/>
      <c r="G11" s="36"/>
      <c r="H11" s="36"/>
    </row>
    <row r="12" spans="1:8" x14ac:dyDescent="0.25">
      <c r="A12" s="10"/>
      <c r="B12" s="10"/>
      <c r="C12" s="10"/>
      <c r="D12" s="10"/>
      <c r="E12" s="10"/>
      <c r="F12" s="10"/>
      <c r="G12" s="10"/>
      <c r="H12" s="10"/>
    </row>
    <row r="15" spans="1:8" s="36" customFormat="1" x14ac:dyDescent="0.25">
      <c r="A15"/>
      <c r="B15"/>
      <c r="C15"/>
      <c r="D15"/>
      <c r="E15"/>
      <c r="F15"/>
      <c r="G15"/>
      <c r="H15"/>
    </row>
    <row r="16" spans="1:8" s="36" customFormat="1" x14ac:dyDescent="0.25">
      <c r="A16"/>
      <c r="B16"/>
      <c r="C16"/>
      <c r="D16"/>
      <c r="E16"/>
      <c r="F16"/>
      <c r="G16"/>
      <c r="H16"/>
    </row>
    <row r="17" spans="1:10" s="36" customFormat="1" x14ac:dyDescent="0.25">
      <c r="A17"/>
      <c r="B17"/>
      <c r="C17"/>
      <c r="D17"/>
      <c r="E17"/>
      <c r="F17"/>
      <c r="G17"/>
      <c r="H17"/>
    </row>
    <row r="18" spans="1:10" s="36" customFormat="1" x14ac:dyDescent="0.25">
      <c r="A18"/>
      <c r="B18"/>
      <c r="C18"/>
      <c r="D18"/>
      <c r="E18"/>
      <c r="F18"/>
      <c r="G18"/>
      <c r="H18"/>
    </row>
    <row r="19" spans="1:10" s="36" customFormat="1" x14ac:dyDescent="0.25">
      <c r="A19"/>
      <c r="B19"/>
      <c r="C19"/>
      <c r="D19"/>
      <c r="E19"/>
      <c r="F19"/>
      <c r="G19"/>
      <c r="H19"/>
    </row>
    <row r="20" spans="1:10" s="36" customFormat="1" x14ac:dyDescent="0.25">
      <c r="A20"/>
      <c r="B20"/>
      <c r="C20"/>
      <c r="D20"/>
      <c r="E20"/>
      <c r="F20"/>
      <c r="G20"/>
      <c r="H20"/>
    </row>
    <row r="21" spans="1:10" s="36" customFormat="1" x14ac:dyDescent="0.25">
      <c r="A21"/>
      <c r="B21"/>
      <c r="C21"/>
      <c r="D21"/>
      <c r="E21"/>
      <c r="F21"/>
      <c r="G21"/>
      <c r="H21"/>
    </row>
    <row r="25" spans="1:10" ht="15" customHeight="1" x14ac:dyDescent="0.25"/>
    <row r="26" spans="1:10" x14ac:dyDescent="0.25">
      <c r="J26" s="30"/>
    </row>
    <row r="28" spans="1:10" ht="15" customHeight="1" x14ac:dyDescent="0.25"/>
    <row r="29" spans="1:10" s="150" customFormat="1" ht="23.25" customHeight="1" x14ac:dyDescent="0.25">
      <c r="B29" s="80" t="s">
        <v>201</v>
      </c>
    </row>
    <row r="30" spans="1:10" s="36" customFormat="1" ht="186.75" customHeight="1" x14ac:dyDescent="0.25">
      <c r="A30" s="206" t="s">
        <v>515</v>
      </c>
      <c r="B30" s="206"/>
      <c r="C30" s="206"/>
      <c r="D30" s="206"/>
      <c r="E30" s="206"/>
      <c r="F30" s="206"/>
      <c r="G30" s="206"/>
      <c r="H30" s="206"/>
    </row>
    <row r="32" spans="1:10" s="36" customFormat="1" ht="159.75" customHeight="1" x14ac:dyDescent="0.25">
      <c r="A32" s="206" t="s">
        <v>481</v>
      </c>
      <c r="B32" s="206"/>
      <c r="C32" s="206"/>
      <c r="D32" s="206"/>
      <c r="E32" s="206"/>
      <c r="F32" s="206"/>
      <c r="G32" s="206"/>
      <c r="H32" s="206"/>
    </row>
    <row r="33" spans="1:8" s="36" customFormat="1" ht="270" customHeight="1" x14ac:dyDescent="0.25">
      <c r="A33" s="208"/>
      <c r="B33" s="208"/>
      <c r="C33" s="208"/>
      <c r="D33" s="208"/>
      <c r="E33" s="208"/>
      <c r="F33" s="208"/>
      <c r="G33" s="208"/>
      <c r="H33" s="208"/>
    </row>
    <row r="34" spans="1:8" s="36" customFormat="1" ht="27" customHeight="1" x14ac:dyDescent="0.25">
      <c r="A34" s="78"/>
      <c r="C34" s="80" t="s">
        <v>389</v>
      </c>
      <c r="D34" s="78"/>
      <c r="E34" s="78"/>
      <c r="F34" s="78"/>
      <c r="G34" s="78"/>
      <c r="H34" s="78"/>
    </row>
    <row r="35" spans="1:8" s="36" customFormat="1" ht="188.25" customHeight="1" x14ac:dyDescent="0.25">
      <c r="A35" s="206" t="s">
        <v>510</v>
      </c>
      <c r="B35" s="206"/>
      <c r="C35" s="206"/>
      <c r="D35" s="206"/>
      <c r="E35" s="206"/>
      <c r="F35" s="206"/>
      <c r="G35" s="206"/>
      <c r="H35" s="206"/>
    </row>
    <row r="36" spans="1:8" s="36" customFormat="1" ht="97.5" customHeight="1" x14ac:dyDescent="0.25">
      <c r="A36" s="206" t="s">
        <v>511</v>
      </c>
      <c r="B36" s="206"/>
      <c r="C36" s="206"/>
      <c r="D36" s="206"/>
      <c r="E36" s="206"/>
      <c r="F36" s="206"/>
      <c r="G36" s="206"/>
      <c r="H36" s="206"/>
    </row>
    <row r="37" spans="1:8" s="36" customFormat="1" ht="124.5" customHeight="1" x14ac:dyDescent="0.25">
      <c r="A37" s="206" t="s">
        <v>391</v>
      </c>
      <c r="B37" s="206"/>
      <c r="C37" s="206"/>
      <c r="D37" s="206"/>
      <c r="E37" s="206"/>
      <c r="F37" s="206"/>
      <c r="G37" s="206"/>
      <c r="H37" s="206"/>
    </row>
    <row r="38" spans="1:8" s="36" customFormat="1" ht="239.25" customHeight="1" x14ac:dyDescent="0.25">
      <c r="A38" s="210" t="s">
        <v>202</v>
      </c>
      <c r="B38" s="206"/>
      <c r="C38" s="206"/>
      <c r="D38" s="206"/>
      <c r="E38" s="206"/>
      <c r="F38" s="206"/>
      <c r="G38" s="206"/>
      <c r="H38" s="206"/>
    </row>
    <row r="39" spans="1:8" s="36" customFormat="1" ht="22.5" customHeight="1" x14ac:dyDescent="0.25">
      <c r="A39" s="79"/>
      <c r="C39" s="80" t="s">
        <v>390</v>
      </c>
      <c r="D39" s="77"/>
      <c r="E39" s="77"/>
      <c r="F39" s="77"/>
      <c r="G39" s="77"/>
      <c r="H39" s="77"/>
    </row>
    <row r="40" spans="1:8" s="36" customFormat="1" ht="98.25" customHeight="1" x14ac:dyDescent="0.25">
      <c r="A40" s="207" t="s">
        <v>482</v>
      </c>
      <c r="B40" s="207"/>
      <c r="C40" s="207"/>
      <c r="D40" s="207"/>
      <c r="E40" s="207"/>
      <c r="F40" s="207"/>
      <c r="G40" s="207"/>
      <c r="H40" s="207"/>
    </row>
    <row r="41" spans="1:8" s="36" customFormat="1" ht="154.5" customHeight="1" x14ac:dyDescent="0.25">
      <c r="A41" s="206" t="s">
        <v>467</v>
      </c>
      <c r="B41" s="206"/>
      <c r="C41" s="206"/>
      <c r="D41" s="206"/>
      <c r="E41" s="206"/>
      <c r="F41" s="206"/>
      <c r="G41" s="206"/>
      <c r="H41" s="206"/>
    </row>
    <row r="42" spans="1:8" s="36" customFormat="1" ht="227.25" customHeight="1" x14ac:dyDescent="0.25">
      <c r="A42" s="206" t="s">
        <v>475</v>
      </c>
      <c r="B42" s="206"/>
      <c r="C42" s="206"/>
      <c r="D42" s="206"/>
      <c r="E42" s="206"/>
      <c r="F42" s="206"/>
      <c r="G42" s="206"/>
      <c r="H42" s="206"/>
    </row>
    <row r="43" spans="1:8" s="36" customFormat="1" ht="227.25" customHeight="1" x14ac:dyDescent="0.25">
      <c r="A43" s="208"/>
      <c r="B43" s="208"/>
      <c r="C43" s="208"/>
      <c r="D43" s="208"/>
      <c r="E43" s="208"/>
      <c r="F43" s="208"/>
      <c r="G43" s="208"/>
      <c r="H43" s="208"/>
    </row>
    <row r="44" spans="1:8" s="36" customFormat="1" ht="15" customHeight="1" x14ac:dyDescent="0.25">
      <c r="A44" s="179"/>
      <c r="B44" s="80" t="s">
        <v>468</v>
      </c>
      <c r="C44" s="178"/>
      <c r="D44" s="178"/>
      <c r="E44" s="178"/>
      <c r="F44" s="178"/>
      <c r="G44" s="178"/>
      <c r="H44" s="178"/>
    </row>
    <row r="45" spans="1:8" s="36" customFormat="1" ht="319.5" customHeight="1" x14ac:dyDescent="0.25">
      <c r="A45" s="206" t="s">
        <v>516</v>
      </c>
      <c r="B45" s="206"/>
      <c r="C45" s="206"/>
      <c r="D45" s="206"/>
      <c r="E45" s="206"/>
      <c r="F45" s="206"/>
      <c r="G45" s="206"/>
      <c r="H45" s="206"/>
    </row>
    <row r="46" spans="1:8" s="36" customFormat="1" ht="19.5" customHeight="1" x14ac:dyDescent="0.25">
      <c r="A46" s="206" t="s">
        <v>465</v>
      </c>
      <c r="B46" s="206"/>
      <c r="C46" s="206"/>
      <c r="D46" s="206"/>
      <c r="E46" s="206"/>
      <c r="F46" s="206"/>
      <c r="G46" s="206"/>
      <c r="H46" s="206"/>
    </row>
    <row r="47" spans="1:8" s="36" customFormat="1" ht="15" customHeight="1" x14ac:dyDescent="0.25">
      <c r="A47" s="180" t="s">
        <v>324</v>
      </c>
      <c r="B47" s="191" t="s">
        <v>476</v>
      </c>
      <c r="C47" s="191" t="s">
        <v>477</v>
      </c>
      <c r="D47" s="191" t="s">
        <v>478</v>
      </c>
      <c r="E47" s="191" t="s">
        <v>32</v>
      </c>
      <c r="F47" s="191" t="s">
        <v>479</v>
      </c>
      <c r="G47" s="191" t="s">
        <v>472</v>
      </c>
      <c r="H47" s="192" t="s">
        <v>473</v>
      </c>
    </row>
    <row r="48" spans="1:8" s="36" customFormat="1" ht="15" customHeight="1" x14ac:dyDescent="0.25">
      <c r="A48" s="193">
        <v>1</v>
      </c>
      <c r="B48" s="181">
        <v>250</v>
      </c>
      <c r="C48" s="177">
        <v>12.2</v>
      </c>
      <c r="D48" s="181">
        <v>133</v>
      </c>
      <c r="E48" s="176">
        <v>1.75</v>
      </c>
      <c r="F48" s="181">
        <v>-210</v>
      </c>
      <c r="G48" s="181">
        <f>F48/C48</f>
        <v>-17.213114754098363</v>
      </c>
      <c r="H48" s="183">
        <f>B48/1.65/C48</f>
        <v>12.419274714356684</v>
      </c>
    </row>
    <row r="49" spans="1:8" s="36" customFormat="1" ht="15" customHeight="1" x14ac:dyDescent="0.25">
      <c r="A49" s="193">
        <v>2</v>
      </c>
      <c r="B49" s="181">
        <v>250</v>
      </c>
      <c r="C49" s="177">
        <v>8.1999999999999993</v>
      </c>
      <c r="D49" s="181">
        <v>133</v>
      </c>
      <c r="E49" s="176">
        <v>1.75</v>
      </c>
      <c r="F49" s="181">
        <v>-210</v>
      </c>
      <c r="G49" s="181">
        <f>F49/C49</f>
        <v>-25.609756097560979</v>
      </c>
      <c r="H49" s="183">
        <f t="shared" ref="H49:H52" si="0">B49/1.65/C49</f>
        <v>18.477457501847748</v>
      </c>
    </row>
    <row r="50" spans="1:8" s="36" customFormat="1" ht="15" customHeight="1" x14ac:dyDescent="0.25">
      <c r="A50" s="194">
        <v>3</v>
      </c>
      <c r="B50" s="181">
        <v>250</v>
      </c>
      <c r="C50" s="177">
        <v>5</v>
      </c>
      <c r="D50" s="181">
        <v>133</v>
      </c>
      <c r="E50" s="176">
        <v>1.75</v>
      </c>
      <c r="F50" s="181">
        <v>-210</v>
      </c>
      <c r="G50" s="181">
        <f>F50/C50</f>
        <v>-42</v>
      </c>
      <c r="H50" s="183">
        <f t="shared" si="0"/>
        <v>30.303030303030305</v>
      </c>
    </row>
    <row r="51" spans="1:8" s="36" customFormat="1" ht="15" customHeight="1" x14ac:dyDescent="0.25">
      <c r="A51" s="195" t="s">
        <v>463</v>
      </c>
      <c r="B51" s="184">
        <v>250</v>
      </c>
      <c r="C51" s="173">
        <v>5</v>
      </c>
      <c r="D51" s="182">
        <v>150</v>
      </c>
      <c r="E51" s="175">
        <v>2.5</v>
      </c>
      <c r="F51" s="182">
        <v>-215</v>
      </c>
      <c r="G51" s="182">
        <f>F51/C51</f>
        <v>-43</v>
      </c>
      <c r="H51" s="185">
        <f t="shared" si="0"/>
        <v>30.303030303030305</v>
      </c>
    </row>
    <row r="52" spans="1:8" s="36" customFormat="1" ht="15" customHeight="1" x14ac:dyDescent="0.25">
      <c r="A52" s="196" t="s">
        <v>464</v>
      </c>
      <c r="B52" s="186">
        <v>200</v>
      </c>
      <c r="C52" s="187">
        <v>5</v>
      </c>
      <c r="D52" s="188">
        <v>138</v>
      </c>
      <c r="E52" s="189">
        <v>2.5</v>
      </c>
      <c r="F52" s="188">
        <v>-170</v>
      </c>
      <c r="G52" s="188">
        <f>F52/C52</f>
        <v>-34</v>
      </c>
      <c r="H52" s="190">
        <f t="shared" si="0"/>
        <v>24.242424242424242</v>
      </c>
    </row>
    <row r="53" spans="1:8" s="36" customFormat="1" ht="64.5" customHeight="1" x14ac:dyDescent="0.25">
      <c r="A53" s="206" t="s">
        <v>480</v>
      </c>
      <c r="B53" s="206"/>
      <c r="C53" s="206"/>
      <c r="D53" s="206"/>
      <c r="E53" s="206"/>
      <c r="F53" s="206"/>
      <c r="G53" s="206"/>
      <c r="H53" s="206"/>
    </row>
    <row r="54" spans="1:8" s="36" customFormat="1" ht="258" customHeight="1" x14ac:dyDescent="0.25">
      <c r="A54" s="206"/>
      <c r="B54" s="206"/>
      <c r="C54" s="206"/>
      <c r="D54" s="206"/>
      <c r="E54" s="206"/>
      <c r="F54" s="206"/>
      <c r="G54" s="206"/>
      <c r="H54" s="206"/>
    </row>
    <row r="55" spans="1:8" s="36" customFormat="1" ht="21.75" customHeight="1" x14ac:dyDescent="0.25">
      <c r="A55" s="30"/>
      <c r="B55" s="80" t="s">
        <v>469</v>
      </c>
      <c r="C55" s="30"/>
      <c r="D55" s="30"/>
      <c r="E55" s="30"/>
      <c r="F55" s="30"/>
      <c r="G55" s="30"/>
      <c r="H55" s="30"/>
    </row>
    <row r="56" spans="1:8" s="36" customFormat="1" ht="94.5" customHeight="1" x14ac:dyDescent="0.25">
      <c r="A56" s="206" t="s">
        <v>517</v>
      </c>
      <c r="B56" s="206"/>
      <c r="C56" s="206"/>
      <c r="D56" s="206"/>
      <c r="E56" s="206"/>
      <c r="F56" s="206"/>
      <c r="G56" s="206"/>
      <c r="H56" s="206"/>
    </row>
    <row r="57" spans="1:8" s="36" customFormat="1" ht="231.75" customHeight="1" x14ac:dyDescent="0.25">
      <c r="A57" s="208"/>
      <c r="B57" s="208"/>
      <c r="C57" s="208"/>
      <c r="D57" s="208"/>
      <c r="E57" s="208"/>
      <c r="F57" s="208"/>
      <c r="G57" s="208"/>
      <c r="H57" s="208"/>
    </row>
    <row r="58" spans="1:8" s="36" customFormat="1" ht="23.25" customHeight="1" x14ac:dyDescent="0.25">
      <c r="A58" s="78"/>
      <c r="B58" s="80" t="s">
        <v>470</v>
      </c>
      <c r="D58" s="78"/>
      <c r="E58" s="78"/>
      <c r="F58" s="78"/>
      <c r="G58" s="78"/>
      <c r="H58" s="78"/>
    </row>
    <row r="59" spans="1:8" s="36" customFormat="1" ht="67.5" customHeight="1" x14ac:dyDescent="0.25">
      <c r="A59" s="206" t="s">
        <v>519</v>
      </c>
      <c r="B59" s="206"/>
      <c r="C59" s="206"/>
      <c r="D59" s="206"/>
      <c r="E59" s="206"/>
      <c r="F59" s="206"/>
      <c r="G59" s="206"/>
      <c r="H59" s="206"/>
    </row>
    <row r="60" spans="1:8" s="36" customFormat="1" ht="210" customHeight="1" x14ac:dyDescent="0.25">
      <c r="A60" s="207" t="s">
        <v>521</v>
      </c>
      <c r="B60" s="207"/>
      <c r="C60" s="207"/>
      <c r="D60" s="207"/>
      <c r="E60" s="207"/>
      <c r="F60" s="207"/>
      <c r="G60" s="207"/>
      <c r="H60" s="207"/>
    </row>
    <row r="61" spans="1:8" s="36" customFormat="1" ht="247.5" customHeight="1" x14ac:dyDescent="0.25">
      <c r="A61" s="206" t="s">
        <v>520</v>
      </c>
      <c r="B61" s="206"/>
      <c r="C61" s="206"/>
      <c r="D61" s="206"/>
      <c r="E61" s="206"/>
      <c r="F61" s="206"/>
      <c r="G61" s="206"/>
      <c r="H61" s="206"/>
    </row>
  </sheetData>
  <mergeCells count="30">
    <mergeCell ref="A4:H4"/>
    <mergeCell ref="A54:H54"/>
    <mergeCell ref="A56:H56"/>
    <mergeCell ref="A61:H61"/>
    <mergeCell ref="A35:H35"/>
    <mergeCell ref="A9:H9"/>
    <mergeCell ref="A40:H40"/>
    <mergeCell ref="A37:H37"/>
    <mergeCell ref="A38:H38"/>
    <mergeCell ref="A42:H42"/>
    <mergeCell ref="A45:H45"/>
    <mergeCell ref="A46:H46"/>
    <mergeCell ref="A53:H53"/>
    <mergeCell ref="A43:H43"/>
    <mergeCell ref="A1:H1"/>
    <mergeCell ref="A3:H3"/>
    <mergeCell ref="A36:H36"/>
    <mergeCell ref="A60:H60"/>
    <mergeCell ref="A5:H5"/>
    <mergeCell ref="A10:H10"/>
    <mergeCell ref="A30:H30"/>
    <mergeCell ref="A8:H8"/>
    <mergeCell ref="A7:H7"/>
    <mergeCell ref="A59:H59"/>
    <mergeCell ref="A57:H57"/>
    <mergeCell ref="A33:H33"/>
    <mergeCell ref="A32:H32"/>
    <mergeCell ref="A41:H41"/>
    <mergeCell ref="A6:H6"/>
    <mergeCell ref="A2:H2"/>
  </mergeCells>
  <pageMargins left="0.62992125984251968" right="0.23622047244094488" top="0.55118110236220474" bottom="0.55118110236220474" header="0" footer="0"/>
  <pageSetup paperSize="9" orientation="portrait" horizontalDpi="300" verticalDpi="300" r:id="rId1"/>
  <headerFooter>
    <oddFooter xml:space="preserve">&amp;LSubmerged breakwaters - Copyright A. de Graauw © 2013&amp;RPage &amp;P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activeCell="G10" sqref="G10"/>
    </sheetView>
  </sheetViews>
  <sheetFormatPr baseColWidth="10" defaultRowHeight="15" x14ac:dyDescent="0.25"/>
  <cols>
    <col min="1" max="1" width="11.42578125" style="114"/>
    <col min="2" max="2" width="11.42578125" style="141"/>
    <col min="3" max="3" width="11.42578125" style="114"/>
    <col min="6" max="6" width="11.42578125" style="114"/>
    <col min="7" max="7" width="9" style="114" customWidth="1"/>
    <col min="8" max="8" width="5.28515625" style="9" customWidth="1"/>
    <col min="9" max="12" width="11.42578125" style="114"/>
  </cols>
  <sheetData>
    <row r="1" spans="1:15" s="36" customFormat="1" x14ac:dyDescent="0.25">
      <c r="A1" s="114"/>
      <c r="B1" s="141"/>
      <c r="C1" s="114" t="s">
        <v>280</v>
      </c>
      <c r="D1" s="114" t="s">
        <v>280</v>
      </c>
      <c r="E1" s="114" t="s">
        <v>280</v>
      </c>
      <c r="F1" s="114" t="s">
        <v>281</v>
      </c>
      <c r="G1" s="114"/>
      <c r="H1" s="9"/>
      <c r="I1" s="7" t="s">
        <v>282</v>
      </c>
      <c r="J1" s="7" t="s">
        <v>282</v>
      </c>
      <c r="K1" s="7" t="s">
        <v>282</v>
      </c>
      <c r="L1" s="7" t="s">
        <v>282</v>
      </c>
      <c r="M1" s="116" t="s">
        <v>286</v>
      </c>
      <c r="N1" s="9"/>
      <c r="O1" s="9"/>
    </row>
    <row r="2" spans="1:15" x14ac:dyDescent="0.25">
      <c r="A2" s="114" t="s">
        <v>287</v>
      </c>
      <c r="C2" s="114">
        <v>10</v>
      </c>
      <c r="D2" s="114">
        <v>30</v>
      </c>
      <c r="E2" s="114">
        <v>50</v>
      </c>
      <c r="F2" s="114">
        <v>100</v>
      </c>
      <c r="I2" s="114">
        <v>10</v>
      </c>
      <c r="J2" s="114">
        <v>30</v>
      </c>
      <c r="K2" s="114">
        <v>50</v>
      </c>
      <c r="L2" s="114">
        <v>100</v>
      </c>
    </row>
    <row r="3" spans="1:15" s="36" customFormat="1" x14ac:dyDescent="0.25">
      <c r="A3" s="114" t="s">
        <v>283</v>
      </c>
      <c r="B3" s="141"/>
      <c r="C3" s="114">
        <v>0.51300000000000001</v>
      </c>
      <c r="D3" s="114">
        <v>0.46400000000000002</v>
      </c>
      <c r="E3" s="114">
        <v>0.41899999999999998</v>
      </c>
      <c r="F3" s="114"/>
      <c r="G3" s="114"/>
      <c r="H3" s="9"/>
      <c r="I3" s="114">
        <v>0.55000000000000004</v>
      </c>
      <c r="J3" s="114">
        <v>0.55000000000000004</v>
      </c>
      <c r="K3" s="114">
        <v>0.55000000000000004</v>
      </c>
      <c r="L3" s="114">
        <v>0.55000000000000004</v>
      </c>
    </row>
    <row r="4" spans="1:15" s="36" customFormat="1" x14ac:dyDescent="0.25">
      <c r="A4" s="114" t="s">
        <v>284</v>
      </c>
      <c r="B4" s="141"/>
      <c r="C4" s="114">
        <v>1.3939999999999999</v>
      </c>
      <c r="D4" s="114">
        <v>0.39400000000000002</v>
      </c>
      <c r="E4" s="114">
        <v>0.83099999999999996</v>
      </c>
      <c r="F4" s="114"/>
      <c r="G4" s="114"/>
      <c r="H4" s="9"/>
      <c r="I4" s="4">
        <v>1.3</v>
      </c>
      <c r="J4" s="4">
        <v>0.7</v>
      </c>
      <c r="K4" s="4">
        <v>0.4</v>
      </c>
      <c r="L4" s="4">
        <v>0</v>
      </c>
    </row>
    <row r="5" spans="1:15" s="36" customFormat="1" x14ac:dyDescent="0.25">
      <c r="A5" s="114" t="s">
        <v>285</v>
      </c>
      <c r="B5" s="141"/>
      <c r="C5" s="114">
        <v>-69.88</v>
      </c>
      <c r="D5" s="114">
        <v>-44.78</v>
      </c>
      <c r="E5" s="114">
        <v>-69.33</v>
      </c>
      <c r="F5" s="114"/>
      <c r="G5" s="114"/>
      <c r="H5" s="9"/>
      <c r="I5" s="114">
        <v>-70</v>
      </c>
      <c r="J5" s="114">
        <v>-70</v>
      </c>
      <c r="K5" s="114">
        <v>-70</v>
      </c>
      <c r="L5" s="114">
        <v>-70</v>
      </c>
    </row>
    <row r="6" spans="1:15" ht="17.25" x14ac:dyDescent="0.25">
      <c r="A6" s="114" t="s">
        <v>279</v>
      </c>
      <c r="B6" s="141" t="s">
        <v>329</v>
      </c>
      <c r="C6" s="114" t="s">
        <v>44</v>
      </c>
      <c r="D6" s="114" t="s">
        <v>44</v>
      </c>
      <c r="E6" s="114" t="s">
        <v>44</v>
      </c>
      <c r="F6" s="114" t="s">
        <v>44</v>
      </c>
      <c r="H6" s="7"/>
      <c r="I6" s="114" t="s">
        <v>44</v>
      </c>
      <c r="J6" s="114" t="s">
        <v>44</v>
      </c>
      <c r="K6" s="114" t="s">
        <v>44</v>
      </c>
      <c r="L6" s="114" t="s">
        <v>44</v>
      </c>
    </row>
    <row r="7" spans="1:15" x14ac:dyDescent="0.25">
      <c r="A7" s="114">
        <v>1E-3</v>
      </c>
      <c r="B7" s="108">
        <f>6.29*A7</f>
        <v>6.2900000000000005E-3</v>
      </c>
      <c r="C7" s="158">
        <f>C$3+C$4*EXP(C$5*POWER($A7,0.78))</f>
        <v>1.5258458940742288</v>
      </c>
      <c r="D7" s="158">
        <f>D$3+D$4*EXP(D$5*POWER($A7,0.78))</f>
        <v>0.7850724562257303</v>
      </c>
      <c r="E7" s="158">
        <f>E$3+E$4*EXP(E$5*POWER($A7,0.78))</f>
        <v>1.0243038437264107</v>
      </c>
      <c r="F7" s="114">
        <v>0.55000000000000004</v>
      </c>
      <c r="I7" s="4">
        <f t="shared" ref="I7:L14" si="0">I$3+I$4*EXP(I$5*POWER($A7,0.78))</f>
        <v>1.4940298729502428</v>
      </c>
      <c r="J7" s="4">
        <f t="shared" si="0"/>
        <v>1.0583237777424384</v>
      </c>
      <c r="K7" s="4">
        <f t="shared" si="0"/>
        <v>0.84047073013853635</v>
      </c>
      <c r="L7" s="4">
        <f t="shared" si="0"/>
        <v>0.55000000000000004</v>
      </c>
    </row>
    <row r="8" spans="1:15" x14ac:dyDescent="0.25">
      <c r="A8" s="114">
        <v>3.0000000000000001E-3</v>
      </c>
      <c r="B8" s="108">
        <f t="shared" ref="B8:B14" si="1">6.29*A8</f>
        <v>1.8870000000000001E-2</v>
      </c>
      <c r="C8" s="158">
        <f t="shared" ref="C8:E14" si="2">C$3+C$4*EXP(C$5*POWER($A8,0.78))</f>
        <v>1.1698337283390121</v>
      </c>
      <c r="D8" s="158">
        <f t="shared" si="2"/>
        <v>0.70726178863319389</v>
      </c>
      <c r="E8" s="158">
        <f t="shared" si="2"/>
        <v>0.81288176650016353</v>
      </c>
      <c r="F8" s="114">
        <v>0.55000000000000004</v>
      </c>
      <c r="I8" s="4">
        <f t="shared" si="0"/>
        <v>1.1617511874308817</v>
      </c>
      <c r="J8" s="4">
        <f t="shared" si="0"/>
        <v>0.87940448553970563</v>
      </c>
      <c r="K8" s="4">
        <f t="shared" si="0"/>
        <v>0.73823113459411749</v>
      </c>
      <c r="L8" s="4">
        <f t="shared" si="0"/>
        <v>0.55000000000000004</v>
      </c>
    </row>
    <row r="9" spans="1:15" x14ac:dyDescent="0.25">
      <c r="A9" s="114">
        <v>5.0000000000000001E-3</v>
      </c>
      <c r="B9" s="108">
        <f t="shared" si="1"/>
        <v>3.1449999999999999E-2</v>
      </c>
      <c r="C9" s="158">
        <f t="shared" si="2"/>
        <v>0.96744523916281311</v>
      </c>
      <c r="D9" s="158">
        <f t="shared" si="2"/>
        <v>0.65611469130513989</v>
      </c>
      <c r="E9" s="158">
        <f t="shared" si="2"/>
        <v>0.692307207952638</v>
      </c>
      <c r="F9" s="114">
        <v>0.55000000000000004</v>
      </c>
      <c r="I9" s="4">
        <f t="shared" si="0"/>
        <v>0.97298622224539622</v>
      </c>
      <c r="J9" s="4">
        <f t="shared" si="0"/>
        <v>0.77776181197829031</v>
      </c>
      <c r="K9" s="4">
        <f t="shared" si="0"/>
        <v>0.68014960684473735</v>
      </c>
      <c r="L9" s="4">
        <f t="shared" si="0"/>
        <v>0.55000000000000004</v>
      </c>
    </row>
    <row r="10" spans="1:15" x14ac:dyDescent="0.25">
      <c r="A10" s="114">
        <v>7.4999999999999997E-3</v>
      </c>
      <c r="B10" s="108">
        <f t="shared" si="1"/>
        <v>4.7175000000000002E-2</v>
      </c>
      <c r="C10" s="158">
        <f t="shared" si="2"/>
        <v>0.81250456796074899</v>
      </c>
      <c r="D10" s="158">
        <f t="shared" si="2"/>
        <v>0.61106976694375348</v>
      </c>
      <c r="E10" s="158">
        <f t="shared" si="2"/>
        <v>0.59971665433398758</v>
      </c>
      <c r="F10" s="114">
        <v>0.55000000000000004</v>
      </c>
      <c r="I10" s="4">
        <f t="shared" si="0"/>
        <v>0.82857180698952604</v>
      </c>
      <c r="J10" s="4">
        <f t="shared" si="0"/>
        <v>0.70000020376359096</v>
      </c>
      <c r="K10" s="4">
        <f t="shared" si="0"/>
        <v>0.63571440215062347</v>
      </c>
      <c r="L10" s="4">
        <f t="shared" si="0"/>
        <v>0.55000000000000004</v>
      </c>
    </row>
    <row r="11" spans="1:15" x14ac:dyDescent="0.25">
      <c r="A11" s="108">
        <v>0.01</v>
      </c>
      <c r="B11" s="108">
        <f t="shared" si="1"/>
        <v>6.2899999999999998E-2</v>
      </c>
      <c r="C11" s="158">
        <f t="shared" si="2"/>
        <v>0.71642096954887979</v>
      </c>
      <c r="D11" s="158">
        <f t="shared" si="2"/>
        <v>0.57877885717140354</v>
      </c>
      <c r="E11" s="158">
        <f t="shared" si="2"/>
        <v>0.54211551177920314</v>
      </c>
      <c r="F11" s="114">
        <v>0.55000000000000004</v>
      </c>
      <c r="I11" s="4">
        <f t="shared" si="0"/>
        <v>0.7390779664910585</v>
      </c>
      <c r="J11" s="4">
        <f t="shared" si="0"/>
        <v>0.65181121272595466</v>
      </c>
      <c r="K11" s="4">
        <f t="shared" si="0"/>
        <v>0.60817783584340268</v>
      </c>
      <c r="L11" s="4">
        <f t="shared" si="0"/>
        <v>0.55000000000000004</v>
      </c>
    </row>
    <row r="12" spans="1:15" x14ac:dyDescent="0.25">
      <c r="A12" s="108">
        <v>1.4999999999999999E-2</v>
      </c>
      <c r="B12" s="108">
        <f t="shared" si="1"/>
        <v>9.4350000000000003E-2</v>
      </c>
      <c r="C12" s="158">
        <f t="shared" si="2"/>
        <v>0.61241705890338027</v>
      </c>
      <c r="D12" s="158">
        <f t="shared" si="2"/>
        <v>0.53654556775886619</v>
      </c>
      <c r="E12" s="158">
        <f t="shared" si="2"/>
        <v>0.47950973074301578</v>
      </c>
      <c r="F12" s="114">
        <v>0.55000000000000004</v>
      </c>
      <c r="I12" s="4">
        <f t="shared" si="0"/>
        <v>0.64229372351367797</v>
      </c>
      <c r="J12" s="4">
        <f t="shared" si="0"/>
        <v>0.59969662035351889</v>
      </c>
      <c r="K12" s="4">
        <f t="shared" si="0"/>
        <v>0.57839806877343936</v>
      </c>
      <c r="L12" s="4">
        <f t="shared" si="0"/>
        <v>0.55000000000000004</v>
      </c>
    </row>
    <row r="13" spans="1:15" x14ac:dyDescent="0.25">
      <c r="A13" s="108">
        <v>0.02</v>
      </c>
      <c r="B13" s="108">
        <f t="shared" si="1"/>
        <v>0.1258</v>
      </c>
      <c r="C13" s="158">
        <f t="shared" si="2"/>
        <v>0.56416460786902423</v>
      </c>
      <c r="D13" s="158">
        <f t="shared" si="2"/>
        <v>0.51139603208653539</v>
      </c>
      <c r="E13" s="158">
        <f t="shared" si="2"/>
        <v>0.4503043412262609</v>
      </c>
      <c r="F13" s="114">
        <v>0.55000000000000004</v>
      </c>
      <c r="I13" s="4">
        <f t="shared" si="0"/>
        <v>0.59744445921551226</v>
      </c>
      <c r="J13" s="4">
        <f t="shared" si="0"/>
        <v>0.57554701650066054</v>
      </c>
      <c r="K13" s="4">
        <f t="shared" si="0"/>
        <v>0.56459829514323456</v>
      </c>
      <c r="L13" s="4">
        <f t="shared" si="0"/>
        <v>0.55000000000000004</v>
      </c>
    </row>
    <row r="14" spans="1:15" x14ac:dyDescent="0.25">
      <c r="A14" s="108">
        <v>2.5000000000000001E-2</v>
      </c>
      <c r="B14" s="108">
        <f t="shared" si="1"/>
        <v>0.15725</v>
      </c>
      <c r="C14" s="158">
        <f t="shared" si="2"/>
        <v>0.5402957751540336</v>
      </c>
      <c r="D14" s="158">
        <f t="shared" si="2"/>
        <v>0.49568696813873753</v>
      </c>
      <c r="E14" s="158">
        <f t="shared" si="2"/>
        <v>0.4357833265398024</v>
      </c>
      <c r="F14" s="114">
        <v>0.55000000000000004</v>
      </c>
      <c r="I14" s="4">
        <f t="shared" si="0"/>
        <v>0.57528382031054537</v>
      </c>
      <c r="J14" s="4">
        <f t="shared" si="0"/>
        <v>0.56361436478260141</v>
      </c>
      <c r="K14" s="4">
        <f t="shared" si="0"/>
        <v>0.55777963701862943</v>
      </c>
      <c r="L14" s="4">
        <f t="shared" si="0"/>
        <v>0.55000000000000004</v>
      </c>
    </row>
    <row r="18" spans="15:15" ht="17.25" x14ac:dyDescent="0.25">
      <c r="O18" s="10" t="s">
        <v>298</v>
      </c>
    </row>
  </sheetData>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1"/>
  <sheetViews>
    <sheetView topLeftCell="A51" workbookViewId="0">
      <selection activeCell="F72" sqref="F72"/>
    </sheetView>
  </sheetViews>
  <sheetFormatPr baseColWidth="10" defaultRowHeight="15" x14ac:dyDescent="0.25"/>
  <cols>
    <col min="7" max="7" width="11.42578125" style="36"/>
    <col min="8" max="8" width="5" style="9" customWidth="1"/>
    <col min="20" max="20" width="11.42578125" customWidth="1"/>
    <col min="21" max="21" width="5" style="9" customWidth="1"/>
  </cols>
  <sheetData>
    <row r="1" spans="1:23" s="36" customFormat="1" ht="15.75" thickBot="1" x14ac:dyDescent="0.3">
      <c r="A1" s="9" t="s">
        <v>394</v>
      </c>
      <c r="B1" s="9" t="s">
        <v>393</v>
      </c>
      <c r="H1" s="9"/>
      <c r="I1" s="9" t="s">
        <v>397</v>
      </c>
      <c r="J1" s="9"/>
      <c r="K1" s="153" t="s">
        <v>399</v>
      </c>
      <c r="L1" s="81"/>
      <c r="U1" s="9"/>
      <c r="V1" s="9" t="s">
        <v>395</v>
      </c>
    </row>
    <row r="2" spans="1:23" s="141" customFormat="1" x14ac:dyDescent="0.25">
      <c r="A2" s="141" t="s">
        <v>287</v>
      </c>
      <c r="B2" s="141">
        <v>10</v>
      </c>
      <c r="C2" s="141">
        <v>20</v>
      </c>
      <c r="D2" s="141">
        <v>30</v>
      </c>
      <c r="E2" s="141">
        <v>50</v>
      </c>
      <c r="F2" s="141">
        <v>100</v>
      </c>
      <c r="G2" s="157"/>
      <c r="H2" s="7"/>
      <c r="I2" s="7" t="s">
        <v>429</v>
      </c>
      <c r="U2" s="7"/>
    </row>
    <row r="3" spans="1:23" x14ac:dyDescent="0.25">
      <c r="A3" s="141" t="s">
        <v>330</v>
      </c>
      <c r="B3" s="4">
        <f>1/B2</f>
        <v>0.1</v>
      </c>
      <c r="C3" s="4">
        <f t="shared" ref="C3:F3" si="0">1/C2</f>
        <v>0.05</v>
      </c>
      <c r="D3" s="4">
        <f t="shared" si="0"/>
        <v>3.3333333333333333E-2</v>
      </c>
      <c r="E3" s="4">
        <f t="shared" si="0"/>
        <v>0.02</v>
      </c>
      <c r="F3" s="4">
        <f t="shared" si="0"/>
        <v>0.01</v>
      </c>
      <c r="G3" s="158"/>
      <c r="I3" s="151" t="s">
        <v>287</v>
      </c>
      <c r="J3" s="212">
        <v>10</v>
      </c>
      <c r="K3" s="212"/>
      <c r="L3" s="212">
        <v>20</v>
      </c>
      <c r="M3" s="212"/>
      <c r="N3" s="212">
        <v>30</v>
      </c>
      <c r="O3" s="212"/>
      <c r="P3" s="212">
        <v>50</v>
      </c>
      <c r="Q3" s="212"/>
      <c r="R3" s="212">
        <v>100</v>
      </c>
      <c r="S3" s="212"/>
    </row>
    <row r="4" spans="1:23" x14ac:dyDescent="0.25">
      <c r="A4" s="141" t="s">
        <v>329</v>
      </c>
      <c r="B4" s="141" t="s">
        <v>44</v>
      </c>
      <c r="C4" s="141" t="s">
        <v>44</v>
      </c>
      <c r="D4" s="141" t="s">
        <v>44</v>
      </c>
      <c r="E4" s="141" t="s">
        <v>44</v>
      </c>
      <c r="F4" s="141" t="s">
        <v>44</v>
      </c>
      <c r="G4" s="157"/>
      <c r="I4" s="151" t="s">
        <v>396</v>
      </c>
      <c r="J4" s="215">
        <f>6.963*(1-EXP(-19/J3))</f>
        <v>5.9215537043527915</v>
      </c>
      <c r="K4" s="215"/>
      <c r="L4" s="215">
        <f>6.963*(1-EXP(-19/L3))</f>
        <v>4.2701222536863082</v>
      </c>
      <c r="M4" s="215"/>
      <c r="N4" s="215">
        <f>6.963*(1-EXP(-19/N3))</f>
        <v>3.2669041657366966</v>
      </c>
      <c r="O4" s="215"/>
      <c r="P4" s="215">
        <f>6.963*(1-EXP(-19/P3))</f>
        <v>2.2012730076543665</v>
      </c>
      <c r="Q4" s="215"/>
      <c r="R4" s="215">
        <f>6.963*(1-EXP(-19/R3))</f>
        <v>1.2048835503523685</v>
      </c>
      <c r="S4" s="215"/>
    </row>
    <row r="5" spans="1:23" x14ac:dyDescent="0.25">
      <c r="A5" s="4">
        <v>0.01</v>
      </c>
      <c r="B5" s="4">
        <f>0.12/$A5*(1-EXP(-4.7124*$A5*(1+11*POWER(B$3,1.333))))</f>
        <v>0.82472386596123171</v>
      </c>
      <c r="C5" s="4">
        <f t="shared" ref="C5:F14" si="1">0.12/$A5*(1-EXP(-4.7124*$A5*(1+11*POWER(C$3,1.333))))</f>
        <v>0.66126473133164998</v>
      </c>
      <c r="D5" s="4">
        <f t="shared" si="1"/>
        <v>0.6159243158515757</v>
      </c>
      <c r="E5" s="4">
        <f t="shared" si="1"/>
        <v>0.58458237411562886</v>
      </c>
      <c r="F5" s="4">
        <f t="shared" si="1"/>
        <v>0.56516780407360878</v>
      </c>
      <c r="G5" s="158"/>
      <c r="I5" s="151" t="s">
        <v>329</v>
      </c>
      <c r="J5" s="151" t="s">
        <v>172</v>
      </c>
      <c r="K5" s="151" t="s">
        <v>44</v>
      </c>
      <c r="L5" s="151" t="s">
        <v>172</v>
      </c>
      <c r="M5" s="151" t="s">
        <v>44</v>
      </c>
      <c r="N5" s="151" t="s">
        <v>172</v>
      </c>
      <c r="O5" s="151" t="s">
        <v>44</v>
      </c>
      <c r="P5" s="151" t="s">
        <v>172</v>
      </c>
      <c r="Q5" s="151" t="s">
        <v>44</v>
      </c>
      <c r="R5" s="151" t="s">
        <v>172</v>
      </c>
      <c r="S5" s="151" t="s">
        <v>44</v>
      </c>
    </row>
    <row r="6" spans="1:23" x14ac:dyDescent="0.25">
      <c r="A6" s="4">
        <v>0.02</v>
      </c>
      <c r="B6" s="4">
        <f t="shared" ref="B6:B14" si="2">0.12/$A6*(1-EXP(-4.7124*$A6*(1+11*POWER(B$3,1.333))))</f>
        <v>0.79638347199931347</v>
      </c>
      <c r="C6" s="4">
        <f t="shared" si="1"/>
        <v>0.64304510446068686</v>
      </c>
      <c r="D6" s="4">
        <f t="shared" si="1"/>
        <v>0.60011753406585777</v>
      </c>
      <c r="E6" s="4">
        <f t="shared" si="1"/>
        <v>0.57034335111035128</v>
      </c>
      <c r="F6" s="4">
        <f t="shared" si="1"/>
        <v>0.55185886045855104</v>
      </c>
      <c r="G6" s="158"/>
      <c r="I6" s="4">
        <v>0.01</v>
      </c>
      <c r="J6" s="4">
        <f>2*(0.806-1.15*$I6)/(1+EXP(-19.5/J$3))</f>
        <v>1.3910847138401954</v>
      </c>
      <c r="K6" s="4">
        <f>J6/(1+J$4*$I6)*0.9</f>
        <v>1.1819844013529861</v>
      </c>
      <c r="L6" s="4">
        <f>2*(0.806-1.15*$I6)/(1+EXP(-19.5/L$3))</f>
        <v>1.1537967052233782</v>
      </c>
      <c r="M6" s="4">
        <f>L6/(1+L$4*$I6)*0.9</f>
        <v>0.99589126036948594</v>
      </c>
      <c r="N6" s="4">
        <f>2*(0.806-1.15*$I6)/(1+EXP(-19.5/N$3))</f>
        <v>1.0439896251881897</v>
      </c>
      <c r="O6" s="4">
        <f>N6/(1+N$4*$I6)*0.9</f>
        <v>0.90986620569295718</v>
      </c>
      <c r="P6" s="4">
        <f>2*(0.806-1.15*$I6)/(1+EXP(-19.5/P$3))</f>
        <v>0.94749320918259605</v>
      </c>
      <c r="Q6" s="4">
        <f>P6/(1+P$4*$I6)*0.9</f>
        <v>0.83437697317182169</v>
      </c>
      <c r="R6" s="4">
        <f>2*(0.806-1.15*$I6)/(1+EXP(-19.5/R$3))</f>
        <v>0.87171921653860052</v>
      </c>
      <c r="S6" s="4">
        <f>R6/(1+R$4*$I6)*0.9</f>
        <v>0.77520695381701155</v>
      </c>
    </row>
    <row r="7" spans="1:23" x14ac:dyDescent="0.25">
      <c r="A7" s="4">
        <v>0.03</v>
      </c>
      <c r="B7" s="4">
        <f t="shared" si="2"/>
        <v>0.76934157799690306</v>
      </c>
      <c r="C7" s="4">
        <f t="shared" si="1"/>
        <v>0.62549481073793389</v>
      </c>
      <c r="D7" s="4">
        <f t="shared" si="1"/>
        <v>0.58485162901664989</v>
      </c>
      <c r="E7" s="4">
        <f t="shared" si="1"/>
        <v>0.55656676598693533</v>
      </c>
      <c r="F7" s="4">
        <f t="shared" si="1"/>
        <v>0.53896779386779681</v>
      </c>
      <c r="G7" s="158"/>
      <c r="I7" s="4">
        <v>0.02</v>
      </c>
      <c r="J7" s="4">
        <f t="shared" ref="J7:J15" si="3">2*(0.806-1.15*$I7)/(1+EXP(-19.5/J$3))</f>
        <v>1.3709494410785059</v>
      </c>
      <c r="K7" s="4">
        <f t="shared" ref="K7:K15" si="4">J7/(1+J$4*$I7)*0.9</f>
        <v>1.1032011945642841</v>
      </c>
      <c r="L7" s="4">
        <f t="shared" ref="L7:L15" si="5">2*(0.806-1.15*$I7)/(1+EXP(-19.5/L$3))</f>
        <v>1.1370960606543801</v>
      </c>
      <c r="M7" s="4">
        <f t="shared" ref="M7:M15" si="6">L7/(1+L$4*$I7)*0.9</f>
        <v>0.94286359795276531</v>
      </c>
      <c r="N7" s="4">
        <f t="shared" ref="N7:N15" si="7">2*(0.806-1.15*$I7)/(1+EXP(-19.5/N$3))</f>
        <v>1.0288783845466991</v>
      </c>
      <c r="O7" s="4">
        <f t="shared" ref="O7:O15" si="8">N7/(1+N$4*$I7)*0.9</f>
        <v>0.86919876478166125</v>
      </c>
      <c r="P7" s="4">
        <f t="shared" ref="P7:P15" si="9">2*(0.806-1.15*$I7)/(1+EXP(-19.5/P$3))</f>
        <v>0.93377870709876987</v>
      </c>
      <c r="Q7" s="4">
        <f t="shared" ref="Q7:Q15" si="10">P7/(1+P$4*$I7)*0.9</f>
        <v>0.80496201334559736</v>
      </c>
      <c r="R7" s="4">
        <f t="shared" ref="R7:R15" si="11">2*(0.806-1.15*$I7)/(1+EXP(-19.5/R$3))</f>
        <v>0.8591015060411884</v>
      </c>
      <c r="S7" s="4">
        <f t="shared" ref="S7:S15" si="12">R7/(1+R$4*$I7)*0.9</f>
        <v>0.75499766997492657</v>
      </c>
    </row>
    <row r="8" spans="1:23" s="36" customFormat="1" x14ac:dyDescent="0.25">
      <c r="A8" s="4">
        <v>0.04</v>
      </c>
      <c r="B8" s="4">
        <f t="shared" si="2"/>
        <v>0.74353125245984009</v>
      </c>
      <c r="C8" s="4">
        <f t="shared" si="1"/>
        <v>0.60858618726311531</v>
      </c>
      <c r="D8" s="4">
        <f t="shared" si="1"/>
        <v>0.57010577950808394</v>
      </c>
      <c r="E8" s="4">
        <f t="shared" si="1"/>
        <v>0.54323572293070232</v>
      </c>
      <c r="F8" s="4">
        <f t="shared" si="1"/>
        <v>0.52647984363633349</v>
      </c>
      <c r="G8" s="158"/>
      <c r="H8" s="9"/>
      <c r="I8" s="4">
        <v>0.03</v>
      </c>
      <c r="J8" s="4">
        <f t="shared" si="3"/>
        <v>1.3508141683168164</v>
      </c>
      <c r="K8" s="4">
        <f t="shared" si="4"/>
        <v>1.0323408907176213</v>
      </c>
      <c r="L8" s="4">
        <f t="shared" si="5"/>
        <v>1.1203954160853824</v>
      </c>
      <c r="M8" s="4">
        <f t="shared" si="6"/>
        <v>0.89385036449054345</v>
      </c>
      <c r="N8" s="4">
        <f t="shared" si="7"/>
        <v>1.0137671439052087</v>
      </c>
      <c r="O8" s="4">
        <f t="shared" si="8"/>
        <v>0.83095128325134571</v>
      </c>
      <c r="P8" s="4">
        <f t="shared" si="9"/>
        <v>0.92006420501494379</v>
      </c>
      <c r="Q8" s="4">
        <f t="shared" si="10"/>
        <v>0.77676183846197933</v>
      </c>
      <c r="R8" s="4">
        <f t="shared" si="11"/>
        <v>0.8464837955437764</v>
      </c>
      <c r="S8" s="4">
        <f t="shared" si="12"/>
        <v>0.73525839367545687</v>
      </c>
      <c r="U8" s="9"/>
    </row>
    <row r="9" spans="1:23" x14ac:dyDescent="0.25">
      <c r="A9" s="4">
        <v>0.05</v>
      </c>
      <c r="B9" s="4">
        <f t="shared" si="2"/>
        <v>0.71888924389400677</v>
      </c>
      <c r="C9" s="4">
        <f t="shared" si="1"/>
        <v>0.59229279063597573</v>
      </c>
      <c r="D9" s="4">
        <f t="shared" si="1"/>
        <v>0.55586001929634599</v>
      </c>
      <c r="E9" s="4">
        <f t="shared" si="1"/>
        <v>0.53033398459333769</v>
      </c>
      <c r="F9" s="4">
        <f t="shared" si="1"/>
        <v>0.51438080524932428</v>
      </c>
      <c r="G9" s="158"/>
      <c r="I9" s="4">
        <v>0.04</v>
      </c>
      <c r="J9" s="4">
        <f t="shared" si="3"/>
        <v>1.330678895555127</v>
      </c>
      <c r="K9" s="4">
        <f t="shared" si="4"/>
        <v>0.96826554824040745</v>
      </c>
      <c r="L9" s="4">
        <f t="shared" si="5"/>
        <v>1.1036947715163843</v>
      </c>
      <c r="M9" s="4">
        <f t="shared" si="6"/>
        <v>0.84841232106542142</v>
      </c>
      <c r="N9" s="4">
        <f t="shared" si="7"/>
        <v>0.99865590326371811</v>
      </c>
      <c r="O9" s="4">
        <f t="shared" si="8"/>
        <v>0.79491399877705882</v>
      </c>
      <c r="P9" s="4">
        <f t="shared" si="9"/>
        <v>0.9063497029311175</v>
      </c>
      <c r="Q9" s="4">
        <f t="shared" si="10"/>
        <v>0.74970271833276503</v>
      </c>
      <c r="R9" s="4">
        <f t="shared" si="11"/>
        <v>0.83386608504636417</v>
      </c>
      <c r="S9" s="4">
        <f t="shared" si="12"/>
        <v>0.71597291693711451</v>
      </c>
    </row>
    <row r="10" spans="1:23" x14ac:dyDescent="0.25">
      <c r="A10" s="4">
        <v>0.06</v>
      </c>
      <c r="B10" s="4">
        <f t="shared" si="2"/>
        <v>0.69535577004255744</v>
      </c>
      <c r="C10" s="4">
        <f t="shared" si="1"/>
        <v>0.57658934095542347</v>
      </c>
      <c r="D10" s="4">
        <f t="shared" si="1"/>
        <v>0.5420952005212214</v>
      </c>
      <c r="E10" s="4">
        <f t="shared" si="1"/>
        <v>0.51784594536179074</v>
      </c>
      <c r="F10" s="4">
        <f t="shared" si="1"/>
        <v>0.5026570085144566</v>
      </c>
      <c r="G10" s="158"/>
      <c r="I10" s="4">
        <v>0.05</v>
      </c>
      <c r="J10" s="4">
        <f t="shared" si="3"/>
        <v>1.3105436227934377</v>
      </c>
      <c r="K10" s="4">
        <f t="shared" si="4"/>
        <v>0.91004518785155375</v>
      </c>
      <c r="L10" s="4">
        <f t="shared" si="5"/>
        <v>1.0869941269473864</v>
      </c>
      <c r="M10" s="4">
        <f t="shared" si="6"/>
        <v>0.80617205305099593</v>
      </c>
      <c r="N10" s="4">
        <f t="shared" si="7"/>
        <v>0.98354466262222773</v>
      </c>
      <c r="O10" s="4">
        <f t="shared" si="8"/>
        <v>0.76090071120295699</v>
      </c>
      <c r="P10" s="4">
        <f t="shared" si="9"/>
        <v>0.89263520084729153</v>
      </c>
      <c r="Q10" s="4">
        <f t="shared" si="10"/>
        <v>0.72371677109288524</v>
      </c>
      <c r="R10" s="4">
        <f t="shared" si="11"/>
        <v>0.82124837454895216</v>
      </c>
      <c r="S10" s="4">
        <f t="shared" si="12"/>
        <v>0.69712576854191188</v>
      </c>
    </row>
    <row r="11" spans="1:23" x14ac:dyDescent="0.25">
      <c r="A11" s="4">
        <v>7.0000000000000007E-2</v>
      </c>
      <c r="B11" s="4">
        <f t="shared" si="2"/>
        <v>0.67287431953894317</v>
      </c>
      <c r="C11" s="4">
        <f t="shared" si="1"/>
        <v>0.56145166846377137</v>
      </c>
      <c r="D11" s="4">
        <f t="shared" si="1"/>
        <v>0.5287929587464536</v>
      </c>
      <c r="E11" s="4">
        <f t="shared" si="1"/>
        <v>0.50575660574335712</v>
      </c>
      <c r="F11" s="4">
        <f t="shared" si="1"/>
        <v>0.49129529661545507</v>
      </c>
      <c r="G11" s="158"/>
      <c r="I11" s="4">
        <v>0.06</v>
      </c>
      <c r="J11" s="4">
        <f t="shared" si="3"/>
        <v>1.2904083500317483</v>
      </c>
      <c r="K11" s="4">
        <f t="shared" si="4"/>
        <v>0.85691236106895829</v>
      </c>
      <c r="L11" s="4">
        <f t="shared" si="5"/>
        <v>1.0702934823783885</v>
      </c>
      <c r="M11" s="4">
        <f t="shared" si="6"/>
        <v>0.76680346240053543</v>
      </c>
      <c r="N11" s="4">
        <f t="shared" si="7"/>
        <v>0.96843342198073734</v>
      </c>
      <c r="O11" s="4">
        <f t="shared" si="8"/>
        <v>0.72874556454768524</v>
      </c>
      <c r="P11" s="4">
        <f t="shared" si="9"/>
        <v>0.87892069876346546</v>
      </c>
      <c r="Q11" s="4">
        <f t="shared" si="10"/>
        <v>0.69874139460997642</v>
      </c>
      <c r="R11" s="4">
        <f t="shared" si="11"/>
        <v>0.80863066405154005</v>
      </c>
      <c r="S11" s="4">
        <f t="shared" si="12"/>
        <v>0.67870217264209376</v>
      </c>
    </row>
    <row r="12" spans="1:23" x14ac:dyDescent="0.25">
      <c r="A12" s="4">
        <v>0.08</v>
      </c>
      <c r="B12" s="4">
        <f t="shared" si="2"/>
        <v>0.65139146522909053</v>
      </c>
      <c r="C12" s="4">
        <f t="shared" si="1"/>
        <v>0.54685666270853939</v>
      </c>
      <c r="D12" s="4">
        <f t="shared" si="1"/>
        <v>0.51593567953666397</v>
      </c>
      <c r="E12" s="4">
        <f t="shared" si="1"/>
        <v>0.49405154781936189</v>
      </c>
      <c r="F12" s="4">
        <f t="shared" si="1"/>
        <v>0.48028300601044366</v>
      </c>
      <c r="G12" s="158"/>
      <c r="I12" s="4">
        <v>7.0000000000000007E-2</v>
      </c>
      <c r="J12" s="4">
        <f t="shared" si="3"/>
        <v>1.2702730772700588</v>
      </c>
      <c r="K12" s="4">
        <f t="shared" si="4"/>
        <v>0.80822813010010464</v>
      </c>
      <c r="L12" s="4">
        <f t="shared" si="5"/>
        <v>1.0535928378093906</v>
      </c>
      <c r="M12" s="4">
        <f t="shared" si="6"/>
        <v>0.7300233325624812</v>
      </c>
      <c r="N12" s="4">
        <f t="shared" si="7"/>
        <v>0.95332218133924673</v>
      </c>
      <c r="O12" s="4">
        <f t="shared" si="8"/>
        <v>0.69830034238273553</v>
      </c>
      <c r="P12" s="4">
        <f t="shared" si="9"/>
        <v>0.86520619667963916</v>
      </c>
      <c r="Q12" s="4">
        <f t="shared" si="10"/>
        <v>0.6747187629646354</v>
      </c>
      <c r="R12" s="4">
        <f t="shared" si="11"/>
        <v>0.79601295355412793</v>
      </c>
      <c r="S12" s="4">
        <f t="shared" si="12"/>
        <v>0.66068801012655809</v>
      </c>
    </row>
    <row r="13" spans="1:23" x14ac:dyDescent="0.25">
      <c r="A13" s="4">
        <v>0.09</v>
      </c>
      <c r="B13" s="4">
        <f t="shared" si="2"/>
        <v>0.63085668846170706</v>
      </c>
      <c r="C13" s="4">
        <f t="shared" si="1"/>
        <v>0.53278222410052312</v>
      </c>
      <c r="D13" s="4">
        <f t="shared" si="1"/>
        <v>0.50350646650187358</v>
      </c>
      <c r="E13" s="4">
        <f t="shared" si="1"/>
        <v>0.48271691172192899</v>
      </c>
      <c r="F13" s="4">
        <f t="shared" si="1"/>
        <v>0.46960794714036602</v>
      </c>
      <c r="G13" s="158"/>
      <c r="I13" s="4">
        <v>0.08</v>
      </c>
      <c r="J13" s="4">
        <f t="shared" si="3"/>
        <v>1.2501378045083695</v>
      </c>
      <c r="K13" s="4">
        <f t="shared" si="4"/>
        <v>0.76345624947997692</v>
      </c>
      <c r="L13" s="4">
        <f t="shared" si="5"/>
        <v>1.0368921932403927</v>
      </c>
      <c r="M13" s="4">
        <f t="shared" si="6"/>
        <v>0.69558450424476059</v>
      </c>
      <c r="N13" s="4">
        <f t="shared" si="7"/>
        <v>0.93821094069775635</v>
      </c>
      <c r="O13" s="4">
        <f t="shared" si="8"/>
        <v>0.66943218350922162</v>
      </c>
      <c r="P13" s="4">
        <f t="shared" si="9"/>
        <v>0.8514916945958132</v>
      </c>
      <c r="Q13" s="4">
        <f t="shared" si="10"/>
        <v>0.65159537947600521</v>
      </c>
      <c r="R13" s="4">
        <f t="shared" si="11"/>
        <v>0.78339524305671593</v>
      </c>
      <c r="S13" s="4">
        <f t="shared" si="12"/>
        <v>0.64306978253466862</v>
      </c>
      <c r="W13" t="s">
        <v>331</v>
      </c>
    </row>
    <row r="14" spans="1:23" x14ac:dyDescent="0.25">
      <c r="A14" s="4">
        <v>0.1</v>
      </c>
      <c r="B14" s="4">
        <f t="shared" si="2"/>
        <v>0.61122221368848662</v>
      </c>
      <c r="C14" s="4">
        <f t="shared" si="1"/>
        <v>0.51920721775277756</v>
      </c>
      <c r="D14" s="4">
        <f t="shared" si="1"/>
        <v>0.49148911074381796</v>
      </c>
      <c r="E14" s="4">
        <f t="shared" si="1"/>
        <v>0.47173937309028635</v>
      </c>
      <c r="F14" s="4">
        <f t="shared" si="1"/>
        <v>0.4592583859141276</v>
      </c>
      <c r="G14" s="158"/>
      <c r="I14" s="4">
        <v>0.09</v>
      </c>
      <c r="J14" s="4">
        <f t="shared" si="3"/>
        <v>1.2300025317466798</v>
      </c>
      <c r="K14" s="4">
        <f t="shared" si="4"/>
        <v>0.722143331694031</v>
      </c>
      <c r="L14" s="4">
        <f t="shared" si="5"/>
        <v>1.0201915486713946</v>
      </c>
      <c r="M14" s="4">
        <f t="shared" si="6"/>
        <v>0.6632703142039813</v>
      </c>
      <c r="N14" s="4">
        <f t="shared" si="7"/>
        <v>0.92309970005626585</v>
      </c>
      <c r="O14" s="4">
        <f t="shared" si="8"/>
        <v>0.64202164365667813</v>
      </c>
      <c r="P14" s="4">
        <f t="shared" si="9"/>
        <v>0.8377771925119869</v>
      </c>
      <c r="Q14" s="4">
        <f t="shared" si="10"/>
        <v>0.62932167900040892</v>
      </c>
      <c r="R14" s="4">
        <f t="shared" si="11"/>
        <v>0.7707775325593037</v>
      </c>
      <c r="S14" s="4">
        <f t="shared" si="12"/>
        <v>0.62583457832362699</v>
      </c>
    </row>
    <row r="15" spans="1:23" x14ac:dyDescent="0.25">
      <c r="A15" s="141"/>
      <c r="B15" s="141"/>
      <c r="C15" s="36"/>
      <c r="D15" s="36"/>
      <c r="E15" s="141"/>
      <c r="F15" s="141"/>
      <c r="G15" s="157"/>
      <c r="I15" s="4">
        <v>0.1</v>
      </c>
      <c r="J15" s="4">
        <f t="shared" si="3"/>
        <v>1.2098672589849906</v>
      </c>
      <c r="K15" s="4">
        <f t="shared" si="4"/>
        <v>0.68390343888913463</v>
      </c>
      <c r="L15" s="4">
        <f t="shared" si="5"/>
        <v>1.0034909041023969</v>
      </c>
      <c r="M15" s="4">
        <f t="shared" si="6"/>
        <v>0.63289003250049558</v>
      </c>
      <c r="N15" s="4">
        <f t="shared" si="7"/>
        <v>0.90798845941477535</v>
      </c>
      <c r="O15" s="4">
        <f t="shared" si="8"/>
        <v>0.61596104355964509</v>
      </c>
      <c r="P15" s="4">
        <f t="shared" si="9"/>
        <v>0.82406269042816094</v>
      </c>
      <c r="Q15" s="4">
        <f t="shared" si="10"/>
        <v>0.60785167328038048</v>
      </c>
      <c r="R15" s="4">
        <f t="shared" si="11"/>
        <v>0.7581598220618917</v>
      </c>
      <c r="S15" s="4">
        <f t="shared" si="12"/>
        <v>0.6089700413122493</v>
      </c>
    </row>
    <row r="16" spans="1:23" x14ac:dyDescent="0.25">
      <c r="A16" s="141"/>
      <c r="B16" s="141"/>
      <c r="C16" s="36"/>
      <c r="D16" s="36"/>
      <c r="E16" s="141"/>
      <c r="F16" s="141"/>
      <c r="G16" s="157"/>
    </row>
    <row r="17" spans="1:20" x14ac:dyDescent="0.25">
      <c r="A17" s="141"/>
      <c r="B17" s="141"/>
      <c r="C17" s="36"/>
      <c r="D17" s="36"/>
      <c r="E17" s="141"/>
      <c r="F17" s="141"/>
      <c r="G17" s="157"/>
    </row>
    <row r="18" spans="1:20" x14ac:dyDescent="0.25">
      <c r="A18" s="141"/>
      <c r="B18" s="141"/>
      <c r="C18" s="36"/>
      <c r="D18" s="36"/>
      <c r="E18" s="141"/>
      <c r="F18" s="141"/>
      <c r="G18" s="157"/>
    </row>
    <row r="19" spans="1:20" x14ac:dyDescent="0.25">
      <c r="A19" s="141"/>
      <c r="B19" s="141"/>
      <c r="C19" s="36"/>
      <c r="D19" s="36"/>
      <c r="E19" s="141"/>
      <c r="F19" s="141"/>
      <c r="G19" s="157"/>
    </row>
    <row r="20" spans="1:20" x14ac:dyDescent="0.25">
      <c r="A20" s="141"/>
      <c r="B20" s="141"/>
      <c r="C20" s="36"/>
      <c r="D20" s="36"/>
      <c r="E20" s="141"/>
      <c r="F20" s="141"/>
      <c r="G20" s="157"/>
    </row>
    <row r="21" spans="1:20" x14ac:dyDescent="0.25">
      <c r="A21" s="141"/>
      <c r="B21" s="141"/>
      <c r="C21" s="36"/>
      <c r="D21" s="36"/>
      <c r="E21" s="141"/>
      <c r="F21" s="141"/>
      <c r="G21" s="157"/>
    </row>
    <row r="22" spans="1:20" x14ac:dyDescent="0.25">
      <c r="A22" s="141"/>
      <c r="B22" s="141"/>
      <c r="C22" s="36"/>
      <c r="D22" s="36"/>
      <c r="E22" s="141"/>
      <c r="F22" s="141"/>
      <c r="G22" s="157"/>
    </row>
    <row r="23" spans="1:20" x14ac:dyDescent="0.25">
      <c r="A23" s="141"/>
      <c r="B23" s="141"/>
      <c r="C23" s="36"/>
      <c r="D23" s="36"/>
      <c r="E23" s="141"/>
      <c r="F23" s="141"/>
      <c r="G23" s="157"/>
    </row>
    <row r="24" spans="1:20" x14ac:dyDescent="0.25">
      <c r="A24" s="141"/>
      <c r="B24" s="141"/>
      <c r="C24" s="36"/>
      <c r="D24" s="36"/>
      <c r="E24" s="141"/>
      <c r="F24" s="141"/>
      <c r="G24" s="157"/>
    </row>
    <row r="25" spans="1:20" x14ac:dyDescent="0.25">
      <c r="A25" s="141"/>
      <c r="B25" s="141"/>
      <c r="C25" s="36"/>
      <c r="D25" s="36"/>
      <c r="E25" s="141"/>
      <c r="F25" s="141"/>
      <c r="G25" s="157"/>
    </row>
    <row r="32" spans="1:20" x14ac:dyDescent="0.25">
      <c r="A32" t="s">
        <v>335</v>
      </c>
      <c r="I32" t="s">
        <v>398</v>
      </c>
      <c r="O32" s="9" t="s">
        <v>394</v>
      </c>
      <c r="P32" s="9" t="s">
        <v>438</v>
      </c>
      <c r="Q32" s="36"/>
      <c r="R32" s="36"/>
      <c r="S32" s="36"/>
      <c r="T32" s="36"/>
    </row>
    <row r="33" spans="1:28" x14ac:dyDescent="0.25">
      <c r="A33" t="s">
        <v>332</v>
      </c>
      <c r="I33" t="s">
        <v>430</v>
      </c>
      <c r="O33" s="151" t="s">
        <v>287</v>
      </c>
      <c r="P33" s="151">
        <v>10</v>
      </c>
      <c r="Q33" s="151">
        <v>20</v>
      </c>
      <c r="R33" s="151">
        <v>30</v>
      </c>
      <c r="S33" s="151">
        <v>50</v>
      </c>
      <c r="T33" s="151">
        <v>100</v>
      </c>
    </row>
    <row r="34" spans="1:28" x14ac:dyDescent="0.25">
      <c r="A34" t="s">
        <v>333</v>
      </c>
      <c r="I34" t="s">
        <v>431</v>
      </c>
      <c r="O34" s="151" t="s">
        <v>330</v>
      </c>
      <c r="P34" s="4">
        <f>1/P33</f>
        <v>0.1</v>
      </c>
      <c r="Q34" s="4">
        <f t="shared" ref="Q34:T34" si="13">1/Q33</f>
        <v>0.05</v>
      </c>
      <c r="R34" s="4">
        <f t="shared" si="13"/>
        <v>3.3333333333333333E-2</v>
      </c>
      <c r="S34" s="4">
        <f t="shared" si="13"/>
        <v>0.02</v>
      </c>
      <c r="T34" s="4">
        <f t="shared" si="13"/>
        <v>0.01</v>
      </c>
    </row>
    <row r="35" spans="1:28" x14ac:dyDescent="0.25">
      <c r="A35" t="s">
        <v>334</v>
      </c>
      <c r="I35" t="s">
        <v>432</v>
      </c>
      <c r="O35" s="151" t="s">
        <v>329</v>
      </c>
      <c r="P35" s="151" t="s">
        <v>44</v>
      </c>
      <c r="Q35" s="151" t="s">
        <v>44</v>
      </c>
      <c r="R35" s="151" t="s">
        <v>44</v>
      </c>
      <c r="S35" s="151" t="s">
        <v>44</v>
      </c>
      <c r="T35" s="151" t="s">
        <v>44</v>
      </c>
    </row>
    <row r="36" spans="1:28" x14ac:dyDescent="0.25">
      <c r="A36" t="s">
        <v>428</v>
      </c>
      <c r="O36" s="4">
        <v>0.01</v>
      </c>
      <c r="P36" s="4">
        <f>0.17/$A5*(1-EXP(-4.7124*$A5*(1+11*POWER(P$34,1.333))))</f>
        <v>1.1683588101117448</v>
      </c>
      <c r="Q36" s="4">
        <f t="shared" ref="Q36:T36" si="14">0.17/$A5*(1-EXP(-4.7124*$A5*(1+11*POWER(Q$34,1.333))))</f>
        <v>0.93679170271983747</v>
      </c>
      <c r="R36" s="4">
        <f t="shared" si="14"/>
        <v>0.87255944745639891</v>
      </c>
      <c r="S36" s="4">
        <f t="shared" si="14"/>
        <v>0.82815836333047421</v>
      </c>
      <c r="T36" s="4">
        <f t="shared" si="14"/>
        <v>0.80065438910427911</v>
      </c>
    </row>
    <row r="37" spans="1:28" x14ac:dyDescent="0.25">
      <c r="A37" t="s">
        <v>457</v>
      </c>
      <c r="I37" t="s">
        <v>434</v>
      </c>
      <c r="O37" s="4">
        <v>0.02</v>
      </c>
      <c r="P37" s="4">
        <f t="shared" ref="P37:T37" si="15">0.17/$A6*(1-EXP(-4.7124*$A6*(1+11*POWER(P$34,1.333))))</f>
        <v>1.1282099186656942</v>
      </c>
      <c r="Q37" s="4">
        <f t="shared" si="15"/>
        <v>0.91098056465263966</v>
      </c>
      <c r="R37" s="4">
        <f t="shared" si="15"/>
        <v>0.85016650659329851</v>
      </c>
      <c r="S37" s="4">
        <f t="shared" si="15"/>
        <v>0.80798641407299765</v>
      </c>
      <c r="T37" s="4">
        <f t="shared" si="15"/>
        <v>0.78180005231628069</v>
      </c>
    </row>
    <row r="38" spans="1:28" x14ac:dyDescent="0.25">
      <c r="A38" t="s">
        <v>453</v>
      </c>
      <c r="I38" s="36" t="s">
        <v>433</v>
      </c>
      <c r="O38" s="4">
        <v>0.03</v>
      </c>
      <c r="P38" s="4">
        <f t="shared" ref="P38:T38" si="16">0.17/$A7*(1-EXP(-4.7124*$A7*(1+11*POWER(P$34,1.333))))</f>
        <v>1.089900568828946</v>
      </c>
      <c r="Q38" s="4">
        <f t="shared" si="16"/>
        <v>0.88611764854540642</v>
      </c>
      <c r="R38" s="4">
        <f t="shared" si="16"/>
        <v>0.82853980777358738</v>
      </c>
      <c r="S38" s="4">
        <f t="shared" si="16"/>
        <v>0.78846958514815846</v>
      </c>
      <c r="T38" s="4">
        <f t="shared" si="16"/>
        <v>0.76353770797937881</v>
      </c>
    </row>
    <row r="39" spans="1:28" x14ac:dyDescent="0.25">
      <c r="A39" t="s">
        <v>440</v>
      </c>
      <c r="I39" t="s">
        <v>435</v>
      </c>
      <c r="O39" s="4">
        <v>0.04</v>
      </c>
      <c r="P39" s="4">
        <f t="shared" ref="P39:T39" si="17">0.17/$A8*(1-EXP(-4.7124*$A8*(1+11*POWER(P$34,1.333))))</f>
        <v>1.0533359409847733</v>
      </c>
      <c r="Q39" s="4">
        <f t="shared" si="17"/>
        <v>0.86216376528941341</v>
      </c>
      <c r="R39" s="4">
        <f t="shared" si="17"/>
        <v>0.80764985430311897</v>
      </c>
      <c r="S39" s="4">
        <f t="shared" si="17"/>
        <v>0.76958394081849502</v>
      </c>
      <c r="T39" s="4">
        <f t="shared" si="17"/>
        <v>0.74584644515147247</v>
      </c>
    </row>
    <row r="40" spans="1:28" x14ac:dyDescent="0.25">
      <c r="I40" t="s">
        <v>437</v>
      </c>
      <c r="O40" s="4">
        <v>0.05</v>
      </c>
      <c r="P40" s="4">
        <f t="shared" ref="P40:T40" si="18">0.17/$A9*(1-EXP(-4.7124*$A9*(1+11*POWER(P$34,1.333))))</f>
        <v>1.0184264288498428</v>
      </c>
      <c r="Q40" s="4">
        <f t="shared" si="18"/>
        <v>0.83908145340096563</v>
      </c>
      <c r="R40" s="4">
        <f t="shared" si="18"/>
        <v>0.78746836066982351</v>
      </c>
      <c r="S40" s="4">
        <f t="shared" si="18"/>
        <v>0.75130647817389506</v>
      </c>
      <c r="T40" s="4">
        <f t="shared" si="18"/>
        <v>0.72870614076987605</v>
      </c>
    </row>
    <row r="41" spans="1:28" x14ac:dyDescent="0.25">
      <c r="A41" s="152" t="s">
        <v>44</v>
      </c>
      <c r="B41" s="152" t="s">
        <v>329</v>
      </c>
      <c r="I41" t="s">
        <v>439</v>
      </c>
      <c r="O41" s="4">
        <v>0.06</v>
      </c>
      <c r="P41" s="4">
        <f t="shared" ref="P41:T41" si="19">0.17/$A10*(1-EXP(-4.7124*$A10*(1+11*POWER(P$34,1.333))))</f>
        <v>0.98508734089362304</v>
      </c>
      <c r="Q41" s="4">
        <f t="shared" si="19"/>
        <v>0.81683489968684997</v>
      </c>
      <c r="R41" s="4">
        <f t="shared" si="19"/>
        <v>0.767968200738397</v>
      </c>
      <c r="S41" s="4">
        <f t="shared" si="19"/>
        <v>0.73361508926253693</v>
      </c>
      <c r="T41" s="4">
        <f t="shared" si="19"/>
        <v>0.71209742872881354</v>
      </c>
    </row>
    <row r="42" spans="1:28" x14ac:dyDescent="0.25">
      <c r="A42" s="152">
        <v>0.83</v>
      </c>
      <c r="B42" s="152">
        <v>1.0999999999999999E-2</v>
      </c>
      <c r="O42" s="4">
        <v>7.0000000000000007E-2</v>
      </c>
      <c r="P42" s="4">
        <f t="shared" ref="P42:T42" si="20">0.17/$A11*(1-EXP(-4.7124*$A11*(1+11*POWER(P$34,1.333))))</f>
        <v>0.95323861934683629</v>
      </c>
      <c r="Q42" s="4">
        <f t="shared" si="20"/>
        <v>0.79538986365700959</v>
      </c>
      <c r="R42" s="4">
        <f t="shared" si="20"/>
        <v>0.74912335822414267</v>
      </c>
      <c r="S42" s="4">
        <f t="shared" si="20"/>
        <v>0.71648852480308933</v>
      </c>
      <c r="T42" s="4">
        <f t="shared" si="20"/>
        <v>0.69600167020522807</v>
      </c>
    </row>
    <row r="43" spans="1:28" x14ac:dyDescent="0.25">
      <c r="A43" s="152">
        <v>0.7</v>
      </c>
      <c r="B43" s="152">
        <v>0.05</v>
      </c>
      <c r="O43" s="4">
        <v>0.08</v>
      </c>
      <c r="P43" s="4">
        <f t="shared" ref="P43:T43" si="21">0.17/$A12*(1-EXP(-4.7124*$A12*(1+11*POWER(P$34,1.333))))</f>
        <v>0.92280457574121155</v>
      </c>
      <c r="Q43" s="4">
        <f t="shared" si="21"/>
        <v>0.77471360550376422</v>
      </c>
      <c r="R43" s="4">
        <f t="shared" si="21"/>
        <v>0.73090887934360727</v>
      </c>
      <c r="S43" s="4">
        <f t="shared" si="21"/>
        <v>0.69990635941076262</v>
      </c>
      <c r="T43" s="4">
        <f t="shared" si="21"/>
        <v>0.68040092518146189</v>
      </c>
    </row>
    <row r="44" spans="1:28" x14ac:dyDescent="0.25">
      <c r="A44" s="152">
        <v>0.6</v>
      </c>
      <c r="B44" s="152">
        <v>2.3E-2</v>
      </c>
      <c r="O44" s="4">
        <v>0.09</v>
      </c>
      <c r="P44" s="4">
        <f t="shared" ref="P44:T44" si="22">0.17/$A13*(1-EXP(-4.7124*$A13*(1+11*POWER(P$34,1.333))))</f>
        <v>0.89371364198741854</v>
      </c>
      <c r="Q44" s="4">
        <f t="shared" si="22"/>
        <v>0.75477481747574116</v>
      </c>
      <c r="R44" s="4">
        <f t="shared" si="22"/>
        <v>0.71330082754432111</v>
      </c>
      <c r="S44" s="4">
        <f t="shared" si="22"/>
        <v>0.68384895827273284</v>
      </c>
      <c r="T44" s="4">
        <f t="shared" si="22"/>
        <v>0.66527792511551864</v>
      </c>
    </row>
    <row r="45" spans="1:28" x14ac:dyDescent="0.25">
      <c r="A45" s="152">
        <v>0.51</v>
      </c>
      <c r="B45" s="152">
        <v>0.06</v>
      </c>
      <c r="C45" s="36"/>
      <c r="D45" s="36"/>
      <c r="E45" s="36"/>
      <c r="F45" s="36"/>
      <c r="O45" s="4">
        <v>0.1</v>
      </c>
      <c r="P45" s="4">
        <f t="shared" ref="P45:T45" si="23">0.17/$A14*(1-EXP(-4.7124*$A14*(1+11*POWER(P$34,1.333))))</f>
        <v>0.86589813605868937</v>
      </c>
      <c r="Q45" s="4">
        <f t="shared" si="23"/>
        <v>0.73554355848310149</v>
      </c>
      <c r="R45" s="4">
        <f t="shared" si="23"/>
        <v>0.69627624022040879</v>
      </c>
      <c r="S45" s="4">
        <f t="shared" si="23"/>
        <v>0.66829744521123902</v>
      </c>
      <c r="T45" s="4">
        <f t="shared" si="23"/>
        <v>0.65061604671168083</v>
      </c>
    </row>
    <row r="46" spans="1:28" x14ac:dyDescent="0.25">
      <c r="A46" s="152">
        <v>0.53</v>
      </c>
      <c r="B46" s="152">
        <v>0.08</v>
      </c>
      <c r="C46" s="36"/>
      <c r="D46" s="36"/>
      <c r="E46" s="36"/>
      <c r="F46" s="36"/>
      <c r="O46" s="151"/>
      <c r="P46" s="151"/>
      <c r="Q46" s="36"/>
      <c r="R46" s="36"/>
      <c r="S46" s="151"/>
      <c r="T46" s="151"/>
      <c r="AB46" s="36"/>
    </row>
    <row r="47" spans="1:28" s="36" customFormat="1" x14ac:dyDescent="0.25">
      <c r="A47" s="152">
        <v>0.43</v>
      </c>
      <c r="B47" s="152">
        <v>0.1</v>
      </c>
      <c r="C47"/>
      <c r="D47"/>
      <c r="E47"/>
      <c r="F47"/>
      <c r="H47" s="9"/>
      <c r="O47" s="151"/>
      <c r="P47" s="151"/>
      <c r="S47" s="151"/>
      <c r="T47" s="151"/>
      <c r="U47" s="9"/>
      <c r="AB47"/>
    </row>
    <row r="48" spans="1:28" s="36" customFormat="1" x14ac:dyDescent="0.25">
      <c r="A48" s="157"/>
      <c r="B48" s="157"/>
      <c r="H48" s="9"/>
      <c r="O48" s="157"/>
      <c r="P48" s="157"/>
      <c r="S48" s="157"/>
      <c r="T48" s="157"/>
      <c r="U48" s="9"/>
    </row>
    <row r="49" spans="1:21" s="36" customFormat="1" x14ac:dyDescent="0.25">
      <c r="A49" s="157"/>
      <c r="B49" s="157"/>
      <c r="H49" s="9"/>
      <c r="O49" s="157"/>
      <c r="P49" s="157"/>
      <c r="S49" s="157"/>
      <c r="T49" s="157"/>
      <c r="U49" s="9"/>
    </row>
    <row r="50" spans="1:21" x14ac:dyDescent="0.25">
      <c r="A50" s="152"/>
      <c r="B50" s="152"/>
      <c r="O50" s="151"/>
      <c r="P50" s="151"/>
      <c r="Q50" s="36"/>
      <c r="R50" s="36"/>
      <c r="S50" s="151"/>
      <c r="T50" s="151"/>
    </row>
    <row r="51" spans="1:21" x14ac:dyDescent="0.25">
      <c r="A51" s="152"/>
      <c r="B51" s="152"/>
      <c r="O51" s="151"/>
      <c r="P51" s="151"/>
      <c r="Q51" s="36"/>
      <c r="R51" s="36"/>
      <c r="S51" s="151"/>
      <c r="T51" s="151"/>
    </row>
    <row r="52" spans="1:21" x14ac:dyDescent="0.25">
      <c r="A52" s="152"/>
      <c r="B52" s="152"/>
      <c r="O52" s="151"/>
      <c r="P52" s="151"/>
      <c r="Q52" s="36"/>
      <c r="R52" s="36"/>
      <c r="S52" s="151"/>
      <c r="T52" s="151"/>
    </row>
    <row r="53" spans="1:21" x14ac:dyDescent="0.25">
      <c r="A53" s="152"/>
      <c r="B53" s="152"/>
      <c r="O53" s="151"/>
      <c r="P53" s="151"/>
      <c r="Q53" s="36"/>
      <c r="R53" s="36"/>
      <c r="S53" s="151"/>
      <c r="T53" s="151"/>
    </row>
    <row r="54" spans="1:21" x14ac:dyDescent="0.25">
      <c r="A54" s="152"/>
      <c r="B54" s="152"/>
      <c r="O54" s="151"/>
      <c r="P54" s="151"/>
      <c r="Q54" s="36"/>
      <c r="R54" s="36"/>
      <c r="S54" s="151"/>
      <c r="T54" s="151"/>
    </row>
    <row r="55" spans="1:21" x14ac:dyDescent="0.25">
      <c r="A55" s="152"/>
      <c r="B55" s="152"/>
      <c r="O55" s="151"/>
      <c r="P55" s="151"/>
      <c r="Q55" s="36"/>
      <c r="R55" s="36"/>
      <c r="S55" s="151"/>
      <c r="T55" s="151"/>
    </row>
    <row r="56" spans="1:21" x14ac:dyDescent="0.25">
      <c r="A56" s="152"/>
      <c r="B56" s="152"/>
      <c r="O56" s="151"/>
      <c r="P56" s="151"/>
      <c r="Q56" s="36"/>
      <c r="R56" s="36"/>
      <c r="S56" s="151"/>
      <c r="T56" s="151"/>
    </row>
    <row r="57" spans="1:21" x14ac:dyDescent="0.25">
      <c r="O57" s="151"/>
      <c r="P57" s="151"/>
      <c r="Q57" s="36"/>
      <c r="R57" s="36"/>
      <c r="S57" s="151"/>
      <c r="T57" s="151"/>
    </row>
    <row r="58" spans="1:21" x14ac:dyDescent="0.25">
      <c r="O58" s="151"/>
      <c r="P58" s="151"/>
      <c r="Q58" s="36"/>
      <c r="R58" s="36"/>
      <c r="S58" s="151"/>
      <c r="T58" s="151"/>
    </row>
    <row r="59" spans="1:21" x14ac:dyDescent="0.25">
      <c r="O59" s="36"/>
      <c r="P59" s="36"/>
      <c r="Q59" s="36"/>
      <c r="R59" s="36"/>
      <c r="S59" s="36"/>
      <c r="T59" s="36"/>
    </row>
    <row r="60" spans="1:21" x14ac:dyDescent="0.25">
      <c r="O60" s="36"/>
      <c r="P60" s="36"/>
      <c r="Q60" s="36"/>
      <c r="R60" s="36"/>
      <c r="S60" s="36"/>
      <c r="T60" s="36"/>
    </row>
    <row r="61" spans="1:21" x14ac:dyDescent="0.25">
      <c r="O61" s="36"/>
      <c r="P61" s="36"/>
      <c r="Q61" s="36"/>
      <c r="R61" s="36"/>
      <c r="S61" s="36"/>
      <c r="T61" s="36"/>
    </row>
    <row r="62" spans="1:21" s="36" customFormat="1" x14ac:dyDescent="0.25">
      <c r="A62"/>
      <c r="B62"/>
      <c r="C62"/>
      <c r="D62"/>
      <c r="E62"/>
      <c r="F62"/>
      <c r="H62" s="9"/>
      <c r="U62" s="9"/>
    </row>
    <row r="63" spans="1:21" s="36" customFormat="1" x14ac:dyDescent="0.25">
      <c r="A63"/>
      <c r="B63"/>
      <c r="C63"/>
      <c r="D63"/>
      <c r="E63"/>
      <c r="F63"/>
      <c r="H63" s="9"/>
      <c r="U63" s="9"/>
    </row>
    <row r="64" spans="1:21" x14ac:dyDescent="0.25">
      <c r="O64" s="36"/>
      <c r="P64" s="36"/>
      <c r="Q64" s="36"/>
      <c r="R64" s="36"/>
      <c r="S64" s="36"/>
      <c r="T64" s="36"/>
    </row>
    <row r="65" spans="1:21" x14ac:dyDescent="0.25">
      <c r="A65" t="s">
        <v>452</v>
      </c>
    </row>
    <row r="66" spans="1:21" ht="15.75" thickBot="1" x14ac:dyDescent="0.3"/>
    <row r="67" spans="1:21" ht="15.75" thickBot="1" x14ac:dyDescent="0.3">
      <c r="A67" s="163" t="s">
        <v>441</v>
      </c>
      <c r="B67" s="164">
        <v>0.9</v>
      </c>
      <c r="C67" s="156">
        <v>-5</v>
      </c>
      <c r="D67" s="51" t="s">
        <v>329</v>
      </c>
      <c r="E67" s="36"/>
      <c r="F67" s="36"/>
    </row>
    <row r="68" spans="1:21" x14ac:dyDescent="0.25">
      <c r="A68" s="159" t="s">
        <v>44</v>
      </c>
      <c r="B68" s="160" t="s">
        <v>329</v>
      </c>
    </row>
    <row r="69" spans="1:21" x14ac:dyDescent="0.25">
      <c r="A69" s="16">
        <f>$B$67+$C$67*B69</f>
        <v>0.9</v>
      </c>
      <c r="B69" s="17">
        <v>0</v>
      </c>
    </row>
    <row r="70" spans="1:21" x14ac:dyDescent="0.25">
      <c r="A70" s="18">
        <f>$B$67+$C$67*B70</f>
        <v>0.4</v>
      </c>
      <c r="B70" s="19">
        <v>0.1</v>
      </c>
    </row>
    <row r="72" spans="1:21" x14ac:dyDescent="0.25">
      <c r="A72" t="s">
        <v>442</v>
      </c>
    </row>
    <row r="73" spans="1:21" s="36" customFormat="1" x14ac:dyDescent="0.25">
      <c r="A73" s="36" t="s">
        <v>448</v>
      </c>
      <c r="H73" s="9"/>
      <c r="U73" s="9"/>
    </row>
    <row r="74" spans="1:21" s="36" customFormat="1" ht="15.75" thickBot="1" x14ac:dyDescent="0.3">
      <c r="A74" s="36" t="s">
        <v>449</v>
      </c>
      <c r="H74" s="9"/>
      <c r="U74" s="9"/>
    </row>
    <row r="75" spans="1:21" ht="15.75" thickBot="1" x14ac:dyDescent="0.3">
      <c r="A75" s="163" t="s">
        <v>441</v>
      </c>
      <c r="B75" s="164">
        <v>0.78</v>
      </c>
      <c r="C75" s="156">
        <v>-1</v>
      </c>
      <c r="D75" s="51" t="s">
        <v>329</v>
      </c>
    </row>
    <row r="76" spans="1:21" x14ac:dyDescent="0.25">
      <c r="A76" s="159" t="s">
        <v>44</v>
      </c>
      <c r="B76" s="160" t="s">
        <v>329</v>
      </c>
      <c r="C76" s="36"/>
      <c r="D76" s="36"/>
    </row>
    <row r="77" spans="1:21" x14ac:dyDescent="0.25">
      <c r="A77" s="16">
        <f>$B$75+$C$75*B77</f>
        <v>0.73</v>
      </c>
      <c r="B77" s="17">
        <v>0.05</v>
      </c>
      <c r="C77" s="36"/>
      <c r="D77" s="36"/>
    </row>
    <row r="78" spans="1:21" x14ac:dyDescent="0.25">
      <c r="A78" s="18">
        <f>$B$75+$C$75*B78</f>
        <v>0.68</v>
      </c>
      <c r="B78" s="19">
        <v>0.1</v>
      </c>
      <c r="C78" s="36"/>
      <c r="D78" s="36"/>
    </row>
    <row r="79" spans="1:21" s="36" customFormat="1" x14ac:dyDescent="0.25">
      <c r="A79" s="157"/>
      <c r="B79" s="157"/>
      <c r="H79" s="9"/>
      <c r="U79" s="9"/>
    </row>
    <row r="80" spans="1:21" s="36" customFormat="1" x14ac:dyDescent="0.25">
      <c r="A80" s="2" t="s">
        <v>454</v>
      </c>
      <c r="B80" s="157"/>
      <c r="H80" s="9"/>
      <c r="U80" s="9"/>
    </row>
    <row r="81" spans="1:21" s="36" customFormat="1" x14ac:dyDescent="0.25">
      <c r="A81" s="2" t="s">
        <v>455</v>
      </c>
      <c r="B81" s="157"/>
      <c r="H81" s="9"/>
      <c r="U81" s="9"/>
    </row>
    <row r="82" spans="1:21" s="36" customFormat="1" x14ac:dyDescent="0.25">
      <c r="A82" s="2" t="s">
        <v>456</v>
      </c>
      <c r="B82" s="157"/>
      <c r="H82" s="9"/>
      <c r="U82" s="9"/>
    </row>
    <row r="83" spans="1:21" s="36" customFormat="1" x14ac:dyDescent="0.25">
      <c r="A83" s="157"/>
      <c r="B83" s="157"/>
      <c r="H83" s="9"/>
      <c r="U83" s="9"/>
    </row>
    <row r="84" spans="1:21" s="36" customFormat="1" x14ac:dyDescent="0.25">
      <c r="A84" s="152"/>
      <c r="B84" s="152"/>
      <c r="H84" s="9"/>
      <c r="U84" s="9"/>
    </row>
    <row r="85" spans="1:21" s="36" customFormat="1" x14ac:dyDescent="0.25">
      <c r="A85" s="2" t="s">
        <v>443</v>
      </c>
      <c r="B85" s="152"/>
      <c r="H85" s="9"/>
      <c r="U85" s="9"/>
    </row>
    <row r="86" spans="1:21" x14ac:dyDescent="0.25">
      <c r="A86" t="s">
        <v>444</v>
      </c>
    </row>
    <row r="87" spans="1:21" x14ac:dyDescent="0.25">
      <c r="A87" s="152" t="s">
        <v>287</v>
      </c>
      <c r="B87" s="152">
        <v>10</v>
      </c>
      <c r="C87" s="152">
        <v>20</v>
      </c>
      <c r="D87" s="152">
        <v>30</v>
      </c>
      <c r="E87" s="152">
        <v>50</v>
      </c>
      <c r="F87" s="152">
        <v>100</v>
      </c>
      <c r="G87" s="157"/>
    </row>
    <row r="88" spans="1:21" x14ac:dyDescent="0.25">
      <c r="A88" s="152" t="s">
        <v>330</v>
      </c>
      <c r="B88" s="155">
        <f>1/B87</f>
        <v>0.1</v>
      </c>
      <c r="C88" s="155">
        <f t="shared" ref="C88:F88" si="24">1/C87</f>
        <v>0.05</v>
      </c>
      <c r="D88" s="155">
        <f t="shared" si="24"/>
        <v>3.3333333333333333E-2</v>
      </c>
      <c r="E88" s="155">
        <f t="shared" si="24"/>
        <v>0.02</v>
      </c>
      <c r="F88" s="155">
        <f t="shared" si="24"/>
        <v>0.01</v>
      </c>
      <c r="G88" s="158"/>
    </row>
    <row r="89" spans="1:21" x14ac:dyDescent="0.25">
      <c r="A89" s="152" t="s">
        <v>329</v>
      </c>
      <c r="B89" s="152" t="s">
        <v>44</v>
      </c>
      <c r="C89" s="152" t="s">
        <v>44</v>
      </c>
      <c r="D89" s="152" t="s">
        <v>44</v>
      </c>
      <c r="E89" s="152" t="s">
        <v>44</v>
      </c>
      <c r="F89" s="152" t="s">
        <v>44</v>
      </c>
      <c r="G89" s="157"/>
    </row>
    <row r="90" spans="1:21" s="36" customFormat="1" x14ac:dyDescent="0.25">
      <c r="A90" s="155">
        <v>0.01</v>
      </c>
      <c r="B90" s="155">
        <f t="shared" ref="B90:F99" si="25">0.6*($B$67+$C$67*$A90)*(EXP(0.5*(1+11*POWER(B$88,1.333))))</f>
        <v>1.0856065337794976</v>
      </c>
      <c r="C90" s="155">
        <f t="shared" si="25"/>
        <v>0.93059373688999791</v>
      </c>
      <c r="D90" s="155">
        <f t="shared" si="25"/>
        <v>0.89201217834510538</v>
      </c>
      <c r="E90" s="155">
        <f>0.6*($B$67+$C$67*$A90)*(EXP(0.5*(1+11*POWER(E$88,1.333))))</f>
        <v>0.86636671792377218</v>
      </c>
      <c r="F90" s="155">
        <f>0.6*($B$67+$C$67*$A90)*(EXP(0.5*(1+11*POWER(F$88,1.333))))</f>
        <v>0.85088613649556</v>
      </c>
      <c r="G90" s="158"/>
      <c r="H90" s="9"/>
      <c r="U90" s="9"/>
    </row>
    <row r="91" spans="1:21" x14ac:dyDescent="0.25">
      <c r="A91" s="155">
        <v>0.02</v>
      </c>
      <c r="B91" s="155">
        <f t="shared" si="25"/>
        <v>1.0217473259101153</v>
      </c>
      <c r="C91" s="155">
        <f t="shared" si="25"/>
        <v>0.87585292883764498</v>
      </c>
      <c r="D91" s="155">
        <f t="shared" si="25"/>
        <v>0.83954087373656971</v>
      </c>
      <c r="E91" s="155">
        <f t="shared" si="25"/>
        <v>0.81540396981060903</v>
      </c>
      <c r="F91" s="155">
        <f t="shared" si="25"/>
        <v>0.80083401081935046</v>
      </c>
      <c r="G91" s="158"/>
    </row>
    <row r="92" spans="1:21" x14ac:dyDescent="0.25">
      <c r="A92" s="155">
        <v>0.03</v>
      </c>
      <c r="B92" s="155">
        <f t="shared" si="25"/>
        <v>0.95788811804073304</v>
      </c>
      <c r="C92" s="155">
        <f t="shared" si="25"/>
        <v>0.82111212078529217</v>
      </c>
      <c r="D92" s="155">
        <f t="shared" si="25"/>
        <v>0.78706956912803405</v>
      </c>
      <c r="E92" s="155">
        <f t="shared" si="25"/>
        <v>0.76444122169744599</v>
      </c>
      <c r="F92" s="155">
        <f t="shared" si="25"/>
        <v>0.75078188514314104</v>
      </c>
      <c r="G92" s="158"/>
    </row>
    <row r="93" spans="1:21" x14ac:dyDescent="0.25">
      <c r="A93" s="155">
        <v>0.04</v>
      </c>
      <c r="B93" s="155">
        <f t="shared" si="25"/>
        <v>0.89402891017135089</v>
      </c>
      <c r="C93" s="155">
        <f t="shared" si="25"/>
        <v>0.76637131273293935</v>
      </c>
      <c r="D93" s="155">
        <f t="shared" si="25"/>
        <v>0.7345982645194985</v>
      </c>
      <c r="E93" s="155">
        <f t="shared" si="25"/>
        <v>0.71347847358428296</v>
      </c>
      <c r="F93" s="155">
        <f t="shared" si="25"/>
        <v>0.70072975946693172</v>
      </c>
      <c r="G93" s="158"/>
    </row>
    <row r="94" spans="1:21" x14ac:dyDescent="0.25">
      <c r="A94" s="155">
        <v>0.05</v>
      </c>
      <c r="B94" s="155">
        <f t="shared" si="25"/>
        <v>0.83016970230196874</v>
      </c>
      <c r="C94" s="155">
        <f t="shared" si="25"/>
        <v>0.71163050468058664</v>
      </c>
      <c r="D94" s="155">
        <f t="shared" si="25"/>
        <v>0.68212695991096295</v>
      </c>
      <c r="E94" s="155">
        <f t="shared" si="25"/>
        <v>0.66251572547111992</v>
      </c>
      <c r="F94" s="155">
        <f t="shared" si="25"/>
        <v>0.6506776337907223</v>
      </c>
      <c r="G94" s="158"/>
    </row>
    <row r="95" spans="1:21" x14ac:dyDescent="0.25">
      <c r="A95" s="155">
        <v>0.06</v>
      </c>
      <c r="B95" s="155">
        <f t="shared" si="25"/>
        <v>0.76631049443258659</v>
      </c>
      <c r="C95" s="155">
        <f t="shared" si="25"/>
        <v>0.65688969662823382</v>
      </c>
      <c r="D95" s="155">
        <f t="shared" si="25"/>
        <v>0.6296556553024274</v>
      </c>
      <c r="E95" s="155">
        <f t="shared" si="25"/>
        <v>0.61155297735795688</v>
      </c>
      <c r="F95" s="155">
        <f t="shared" si="25"/>
        <v>0.60062550811451298</v>
      </c>
      <c r="G95" s="158"/>
    </row>
    <row r="96" spans="1:21" x14ac:dyDescent="0.25">
      <c r="A96" s="155">
        <v>7.0000000000000007E-2</v>
      </c>
      <c r="B96" s="155">
        <f t="shared" si="25"/>
        <v>0.70245128656320432</v>
      </c>
      <c r="C96" s="155">
        <f t="shared" si="25"/>
        <v>0.602148888575881</v>
      </c>
      <c r="D96" s="155">
        <f t="shared" si="25"/>
        <v>0.57718435069389173</v>
      </c>
      <c r="E96" s="155">
        <f t="shared" si="25"/>
        <v>0.56059022924479374</v>
      </c>
      <c r="F96" s="155">
        <f t="shared" si="25"/>
        <v>0.55057338243830356</v>
      </c>
      <c r="G96" s="158"/>
    </row>
    <row r="97" spans="1:7" x14ac:dyDescent="0.25">
      <c r="A97" s="155">
        <v>0.08</v>
      </c>
      <c r="B97" s="155">
        <f t="shared" si="25"/>
        <v>0.63859207869382206</v>
      </c>
      <c r="C97" s="155">
        <f t="shared" si="25"/>
        <v>0.54740808052352818</v>
      </c>
      <c r="D97" s="155">
        <f t="shared" si="25"/>
        <v>0.52471304608535607</v>
      </c>
      <c r="E97" s="155">
        <f t="shared" si="25"/>
        <v>0.5096274811316307</v>
      </c>
      <c r="F97" s="155">
        <f t="shared" si="25"/>
        <v>0.50052125676209402</v>
      </c>
      <c r="G97" s="158"/>
    </row>
    <row r="98" spans="1:7" x14ac:dyDescent="0.25">
      <c r="A98" s="155">
        <v>0.09</v>
      </c>
      <c r="B98" s="155">
        <f t="shared" si="25"/>
        <v>0.57473287082443991</v>
      </c>
      <c r="C98" s="155">
        <f t="shared" si="25"/>
        <v>0.49266727247117537</v>
      </c>
      <c r="D98" s="155">
        <f t="shared" si="25"/>
        <v>0.47224174147682052</v>
      </c>
      <c r="E98" s="155">
        <f t="shared" si="25"/>
        <v>0.45866473301846766</v>
      </c>
      <c r="F98" s="155">
        <f t="shared" si="25"/>
        <v>0.45046913108588471</v>
      </c>
      <c r="G98" s="158"/>
    </row>
    <row r="99" spans="1:7" x14ac:dyDescent="0.25">
      <c r="A99" s="155">
        <v>0.1</v>
      </c>
      <c r="B99" s="155">
        <f t="shared" si="25"/>
        <v>0.51087366295505765</v>
      </c>
      <c r="C99" s="155">
        <f t="shared" si="25"/>
        <v>0.43792646441882249</v>
      </c>
      <c r="D99" s="155">
        <f t="shared" si="25"/>
        <v>0.41977043686828486</v>
      </c>
      <c r="E99" s="155">
        <f t="shared" si="25"/>
        <v>0.40770198490530452</v>
      </c>
      <c r="F99" s="155">
        <f t="shared" si="25"/>
        <v>0.40041700540967523</v>
      </c>
      <c r="G99" s="158"/>
    </row>
    <row r="100" spans="1:7" x14ac:dyDescent="0.25">
      <c r="A100" s="152"/>
      <c r="B100" s="152"/>
      <c r="C100" s="36"/>
      <c r="D100" s="36"/>
      <c r="E100" s="152"/>
      <c r="F100" s="152"/>
      <c r="G100" s="157"/>
    </row>
    <row r="101" spans="1:7" x14ac:dyDescent="0.25">
      <c r="A101" s="152"/>
      <c r="B101" s="152"/>
      <c r="C101" s="36"/>
      <c r="D101" s="36"/>
      <c r="E101" s="152"/>
      <c r="F101" s="152"/>
      <c r="G101" s="157"/>
    </row>
    <row r="102" spans="1:7" x14ac:dyDescent="0.25">
      <c r="A102" s="152"/>
      <c r="B102" s="152"/>
      <c r="C102" s="36"/>
      <c r="D102" s="36"/>
      <c r="E102" s="152"/>
      <c r="F102" s="152"/>
      <c r="G102" s="157"/>
    </row>
    <row r="103" spans="1:7" x14ac:dyDescent="0.25">
      <c r="A103" s="152"/>
      <c r="B103" s="152"/>
      <c r="C103" s="36"/>
      <c r="D103" s="36"/>
      <c r="E103" s="152"/>
      <c r="F103" s="152"/>
      <c r="G103" s="157"/>
    </row>
    <row r="104" spans="1:7" x14ac:dyDescent="0.25">
      <c r="A104" s="152"/>
      <c r="B104" s="152"/>
      <c r="C104" s="36"/>
      <c r="D104" s="36"/>
      <c r="E104" s="152"/>
      <c r="F104" s="152"/>
      <c r="G104" s="157"/>
    </row>
    <row r="105" spans="1:7" x14ac:dyDescent="0.25">
      <c r="A105" s="152"/>
      <c r="B105" s="152"/>
      <c r="C105" s="36"/>
      <c r="D105" s="36"/>
      <c r="E105" s="152"/>
      <c r="F105" s="152"/>
      <c r="G105" s="157"/>
    </row>
    <row r="106" spans="1:7" x14ac:dyDescent="0.25">
      <c r="A106" s="152"/>
      <c r="B106" s="152"/>
      <c r="C106" s="36"/>
      <c r="D106" s="36"/>
      <c r="E106" s="152"/>
      <c r="F106" s="152"/>
      <c r="G106" s="157"/>
    </row>
    <row r="107" spans="1:7" x14ac:dyDescent="0.25">
      <c r="A107" s="152"/>
      <c r="B107" s="152"/>
      <c r="C107" s="36"/>
      <c r="D107" s="36"/>
      <c r="E107" s="152"/>
      <c r="F107" s="152"/>
      <c r="G107" s="157"/>
    </row>
    <row r="108" spans="1:7" x14ac:dyDescent="0.25">
      <c r="A108" s="152"/>
      <c r="B108" s="152"/>
      <c r="C108" s="36"/>
      <c r="D108" s="36"/>
      <c r="E108" s="152"/>
      <c r="F108" s="152"/>
      <c r="G108" s="157"/>
    </row>
    <row r="109" spans="1:7" x14ac:dyDescent="0.25">
      <c r="A109" s="152"/>
      <c r="B109" s="152"/>
      <c r="C109" s="36"/>
      <c r="D109" s="36"/>
      <c r="E109" s="152"/>
      <c r="F109" s="152"/>
      <c r="G109" s="157"/>
    </row>
    <row r="110" spans="1:7" x14ac:dyDescent="0.25">
      <c r="A110" s="152"/>
      <c r="B110" s="152"/>
      <c r="C110" s="36"/>
      <c r="D110" s="36"/>
      <c r="E110" s="152"/>
      <c r="F110" s="152"/>
      <c r="G110" s="157"/>
    </row>
    <row r="111" spans="1:7" x14ac:dyDescent="0.25">
      <c r="A111" s="36"/>
      <c r="B111" s="36"/>
      <c r="C111" s="36"/>
      <c r="D111" s="36"/>
      <c r="E111" s="36"/>
      <c r="F111" s="36"/>
    </row>
    <row r="112" spans="1:7" x14ac:dyDescent="0.25">
      <c r="A112" s="36"/>
      <c r="B112" s="36"/>
      <c r="C112" s="36"/>
      <c r="D112" s="36"/>
      <c r="E112" s="36"/>
      <c r="F112" s="36"/>
    </row>
    <row r="113" spans="1:21" x14ac:dyDescent="0.25">
      <c r="A113" s="36"/>
      <c r="B113" s="36"/>
      <c r="C113" s="36"/>
      <c r="D113" s="36"/>
      <c r="E113" s="36"/>
      <c r="F113" s="36"/>
    </row>
    <row r="114" spans="1:21" x14ac:dyDescent="0.25">
      <c r="A114" s="36"/>
      <c r="B114" s="36"/>
      <c r="C114" s="36"/>
      <c r="D114" s="36"/>
      <c r="E114" s="36"/>
      <c r="F114" s="36"/>
    </row>
    <row r="115" spans="1:21" x14ac:dyDescent="0.25">
      <c r="A115" s="36"/>
      <c r="B115" s="36"/>
      <c r="C115" s="36"/>
      <c r="D115" s="36"/>
      <c r="E115" s="36"/>
      <c r="F115" s="36"/>
    </row>
    <row r="116" spans="1:21" s="36" customFormat="1" x14ac:dyDescent="0.25">
      <c r="A116" s="36" t="s">
        <v>445</v>
      </c>
      <c r="H116" s="9"/>
      <c r="U116" s="9"/>
    </row>
    <row r="117" spans="1:21" s="36" customFormat="1" x14ac:dyDescent="0.25">
      <c r="A117" s="10" t="s">
        <v>450</v>
      </c>
      <c r="H117" s="9"/>
      <c r="U117" s="9"/>
    </row>
    <row r="118" spans="1:21" s="36" customFormat="1" x14ac:dyDescent="0.25">
      <c r="A118" s="36" t="s">
        <v>451</v>
      </c>
      <c r="H118" s="9"/>
      <c r="U118" s="9"/>
    </row>
    <row r="119" spans="1:21" s="36" customFormat="1" x14ac:dyDescent="0.25">
      <c r="H119" s="9"/>
      <c r="U119" s="9"/>
    </row>
    <row r="121" spans="1:21" x14ac:dyDescent="0.25">
      <c r="A121" t="s">
        <v>338</v>
      </c>
    </row>
    <row r="122" spans="1:21" x14ac:dyDescent="0.25">
      <c r="A122" t="s">
        <v>446</v>
      </c>
    </row>
    <row r="124" spans="1:21" x14ac:dyDescent="0.25">
      <c r="A124" t="s">
        <v>458</v>
      </c>
    </row>
    <row r="125" spans="1:21" x14ac:dyDescent="0.25">
      <c r="A125" t="s">
        <v>436</v>
      </c>
    </row>
    <row r="126" spans="1:21" x14ac:dyDescent="0.25">
      <c r="A126" t="s">
        <v>339</v>
      </c>
    </row>
    <row r="127" spans="1:21" x14ac:dyDescent="0.25">
      <c r="A127" t="s">
        <v>447</v>
      </c>
    </row>
    <row r="128" spans="1:21" x14ac:dyDescent="0.25">
      <c r="A128" t="s">
        <v>340</v>
      </c>
    </row>
    <row r="129" spans="1:1" x14ac:dyDescent="0.25">
      <c r="A129" s="36" t="s">
        <v>341</v>
      </c>
    </row>
    <row r="130" spans="1:1" x14ac:dyDescent="0.25">
      <c r="A130" t="s">
        <v>342</v>
      </c>
    </row>
    <row r="131" spans="1:1" x14ac:dyDescent="0.25">
      <c r="A131" t="s">
        <v>343</v>
      </c>
    </row>
  </sheetData>
  <mergeCells count="10">
    <mergeCell ref="J3:K3"/>
    <mergeCell ref="L3:M3"/>
    <mergeCell ref="N3:O3"/>
    <mergeCell ref="P3:Q3"/>
    <mergeCell ref="R3:S3"/>
    <mergeCell ref="J4:K4"/>
    <mergeCell ref="L4:M4"/>
    <mergeCell ref="N4:O4"/>
    <mergeCell ref="P4:Q4"/>
    <mergeCell ref="R4:S4"/>
  </mergeCell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6"/>
  <sheetViews>
    <sheetView topLeftCell="J103" workbookViewId="0">
      <selection activeCell="L112" sqref="L112"/>
    </sheetView>
  </sheetViews>
  <sheetFormatPr baseColWidth="10" defaultRowHeight="15" x14ac:dyDescent="0.25"/>
  <cols>
    <col min="3" max="3" width="6.7109375" customWidth="1"/>
    <col min="4" max="4" width="8.5703125" customWidth="1"/>
    <col min="5" max="5" width="7.42578125" customWidth="1"/>
    <col min="6" max="6" width="7.28515625" customWidth="1"/>
    <col min="7" max="7" width="4.85546875" customWidth="1"/>
    <col min="13" max="14" width="11.42578125" style="3"/>
    <col min="17" max="17" width="6.42578125" customWidth="1"/>
    <col min="18" max="18" width="8.85546875" customWidth="1"/>
    <col min="19" max="19" width="6.85546875" customWidth="1"/>
    <col min="21" max="21" width="5.42578125" customWidth="1"/>
    <col min="40" max="40" width="11.42578125" style="115"/>
    <col min="42" max="42" width="11.42578125" style="115"/>
  </cols>
  <sheetData>
    <row r="1" spans="1:42" x14ac:dyDescent="0.25">
      <c r="A1" s="10" t="s">
        <v>146</v>
      </c>
      <c r="B1" s="10"/>
      <c r="C1" s="46"/>
      <c r="D1" s="10"/>
      <c r="E1" s="10"/>
      <c r="F1" s="10"/>
    </row>
    <row r="2" spans="1:42" x14ac:dyDescent="0.25">
      <c r="A2" s="10"/>
      <c r="B2" s="10"/>
      <c r="C2" s="46"/>
      <c r="D2" s="10"/>
      <c r="E2" s="10"/>
      <c r="F2" s="10"/>
    </row>
    <row r="3" spans="1:42" x14ac:dyDescent="0.25">
      <c r="B3" s="56" t="s">
        <v>73</v>
      </c>
      <c r="C3" s="59">
        <v>-0.33</v>
      </c>
      <c r="D3" s="23" t="s">
        <v>75</v>
      </c>
      <c r="E3" s="23"/>
    </row>
    <row r="4" spans="1:42" x14ac:dyDescent="0.25">
      <c r="B4" s="1" t="s">
        <v>74</v>
      </c>
      <c r="C4" s="36">
        <v>1.6</v>
      </c>
      <c r="D4" s="36"/>
    </row>
    <row r="5" spans="1:42" x14ac:dyDescent="0.25">
      <c r="B5" s="159" t="s">
        <v>12</v>
      </c>
      <c r="C5" s="161"/>
      <c r="D5" s="160" t="s">
        <v>13</v>
      </c>
    </row>
    <row r="6" spans="1:42" x14ac:dyDescent="0.25">
      <c r="B6" s="16">
        <v>0</v>
      </c>
      <c r="C6" s="124"/>
      <c r="D6" s="17">
        <f>$C$4*$C$3*B6</f>
        <v>0</v>
      </c>
    </row>
    <row r="7" spans="1:42" x14ac:dyDescent="0.25">
      <c r="B7" s="18">
        <v>12</v>
      </c>
      <c r="C7" s="162"/>
      <c r="D7" s="19">
        <f>$C$4*$C$3*B7</f>
        <v>-6.3360000000000003</v>
      </c>
    </row>
    <row r="9" spans="1:42" x14ac:dyDescent="0.25">
      <c r="B9" s="56" t="s">
        <v>73</v>
      </c>
      <c r="C9" s="59">
        <v>-0.5</v>
      </c>
      <c r="D9" s="23" t="s">
        <v>76</v>
      </c>
      <c r="E9" s="23"/>
    </row>
    <row r="10" spans="1:42" x14ac:dyDescent="0.25">
      <c r="B10" s="1" t="s">
        <v>74</v>
      </c>
      <c r="C10">
        <v>1.6</v>
      </c>
    </row>
    <row r="11" spans="1:42" x14ac:dyDescent="0.25">
      <c r="B11" s="159" t="s">
        <v>12</v>
      </c>
      <c r="C11" s="161"/>
      <c r="D11" s="160" t="s">
        <v>13</v>
      </c>
    </row>
    <row r="12" spans="1:42" x14ac:dyDescent="0.25">
      <c r="B12" s="16">
        <v>0</v>
      </c>
      <c r="C12" s="124"/>
      <c r="D12" s="17">
        <f>$C$10*$C$9*B12</f>
        <v>0</v>
      </c>
    </row>
    <row r="13" spans="1:42" x14ac:dyDescent="0.25">
      <c r="B13" s="18">
        <v>12</v>
      </c>
      <c r="C13" s="162"/>
      <c r="D13" s="19">
        <f>$C$10*$C$9*B13</f>
        <v>-9.6000000000000014</v>
      </c>
    </row>
    <row r="15" spans="1:42" s="36" customFormat="1" x14ac:dyDescent="0.25">
      <c r="A15" s="36" t="s">
        <v>97</v>
      </c>
      <c r="M15" s="3"/>
      <c r="N15" s="3"/>
      <c r="AN15" s="115"/>
      <c r="AP15" s="115"/>
    </row>
    <row r="16" spans="1:42" s="45" customFormat="1" x14ac:dyDescent="0.25">
      <c r="B16" s="45" t="s">
        <v>147</v>
      </c>
      <c r="M16" s="58"/>
      <c r="N16" s="58"/>
      <c r="AN16" s="58"/>
      <c r="AP16" s="58"/>
    </row>
    <row r="17" spans="1:42" s="36" customFormat="1" x14ac:dyDescent="0.25">
      <c r="A17" s="37" t="s">
        <v>132</v>
      </c>
      <c r="B17" s="37"/>
      <c r="C17" s="37"/>
      <c r="D17" s="37"/>
      <c r="E17" s="37"/>
      <c r="M17" s="3"/>
      <c r="N17" s="3"/>
      <c r="AN17" s="115"/>
      <c r="AP17" s="115"/>
    </row>
    <row r="18" spans="1:42" s="36" customFormat="1" x14ac:dyDescent="0.25">
      <c r="A18" s="9" t="s">
        <v>149</v>
      </c>
      <c r="B18" s="9"/>
      <c r="C18" s="9"/>
      <c r="D18" s="9"/>
      <c r="E18" s="9"/>
      <c r="F18" s="9"/>
      <c r="G18" s="9"/>
      <c r="H18" s="9"/>
      <c r="I18" s="9"/>
      <c r="M18" s="3"/>
      <c r="N18" s="3"/>
      <c r="AN18" s="115"/>
      <c r="AP18" s="115"/>
    </row>
    <row r="19" spans="1:42" s="23" customFormat="1" x14ac:dyDescent="0.25">
      <c r="M19" s="22"/>
      <c r="N19" s="22"/>
      <c r="AN19" s="22"/>
      <c r="AP19" s="22"/>
    </row>
    <row r="20" spans="1:42" s="23" customFormat="1" x14ac:dyDescent="0.25">
      <c r="M20" s="22"/>
      <c r="N20" s="22"/>
      <c r="AN20" s="22"/>
      <c r="AP20" s="22"/>
    </row>
    <row r="21" spans="1:42" s="23" customFormat="1" x14ac:dyDescent="0.25">
      <c r="M21" s="22"/>
      <c r="N21" s="22"/>
      <c r="AN21" s="22"/>
      <c r="AP21" s="22"/>
    </row>
    <row r="22" spans="1:42" s="23" customFormat="1" x14ac:dyDescent="0.25">
      <c r="A22" s="9" t="s">
        <v>252</v>
      </c>
      <c r="B22" s="9"/>
      <c r="C22" s="9"/>
      <c r="D22" s="9"/>
      <c r="E22" s="9"/>
      <c r="F22" s="9"/>
      <c r="G22" s="9"/>
      <c r="H22" s="9"/>
      <c r="I22" s="9"/>
      <c r="J22" s="9"/>
      <c r="K22" s="9"/>
      <c r="M22" s="22"/>
      <c r="N22" s="22"/>
      <c r="AN22" s="22"/>
      <c r="AP22" s="22"/>
    </row>
    <row r="23" spans="1:42" s="23" customFormat="1" x14ac:dyDescent="0.25">
      <c r="A23" s="9" t="s">
        <v>251</v>
      </c>
      <c r="B23" s="9"/>
      <c r="C23" s="9"/>
      <c r="D23" s="9"/>
      <c r="E23" s="9"/>
      <c r="F23" s="9"/>
      <c r="G23" s="9"/>
      <c r="H23" s="9"/>
      <c r="I23" s="9"/>
      <c r="J23" s="9"/>
      <c r="K23" s="9"/>
      <c r="M23" s="22"/>
      <c r="N23" s="22"/>
      <c r="AN23" s="22"/>
      <c r="AP23" s="22"/>
    </row>
    <row r="24" spans="1:42" s="23" customFormat="1" x14ac:dyDescent="0.25">
      <c r="A24" s="23" t="s">
        <v>385</v>
      </c>
      <c r="M24" s="22"/>
      <c r="N24" s="22"/>
      <c r="AN24" s="22"/>
      <c r="AP24" s="22"/>
    </row>
    <row r="25" spans="1:42" s="23" customFormat="1" x14ac:dyDescent="0.25">
      <c r="A25" s="23" t="s">
        <v>386</v>
      </c>
      <c r="M25" s="22"/>
      <c r="N25" s="22"/>
      <c r="AN25" s="22"/>
      <c r="AP25" s="22"/>
    </row>
    <row r="26" spans="1:42" s="23" customFormat="1" x14ac:dyDescent="0.25">
      <c r="M26" s="22"/>
      <c r="N26" s="22"/>
      <c r="AN26" s="22"/>
      <c r="AP26" s="22"/>
    </row>
    <row r="27" spans="1:42" s="23" customFormat="1" x14ac:dyDescent="0.25">
      <c r="M27" s="22"/>
      <c r="N27" s="22"/>
      <c r="AN27" s="22"/>
      <c r="AP27" s="22"/>
    </row>
    <row r="28" spans="1:42" s="23" customFormat="1" x14ac:dyDescent="0.25">
      <c r="M28" s="22"/>
      <c r="N28" s="22"/>
      <c r="AN28" s="22"/>
      <c r="AP28" s="22"/>
    </row>
    <row r="29" spans="1:42" s="23" customFormat="1" x14ac:dyDescent="0.25">
      <c r="M29" s="22"/>
      <c r="N29" s="22"/>
      <c r="AN29" s="22"/>
      <c r="AP29" s="22"/>
    </row>
    <row r="30" spans="1:42" s="23" customFormat="1" x14ac:dyDescent="0.25">
      <c r="M30" s="22"/>
      <c r="N30" s="22"/>
      <c r="AN30" s="22"/>
      <c r="AP30" s="22"/>
    </row>
    <row r="31" spans="1:42" s="23" customFormat="1" x14ac:dyDescent="0.25">
      <c r="M31" s="22"/>
      <c r="N31" s="22"/>
      <c r="AN31" s="22"/>
      <c r="AP31" s="22"/>
    </row>
    <row r="32" spans="1:42" s="23" customFormat="1" x14ac:dyDescent="0.25">
      <c r="M32" s="22"/>
      <c r="N32" s="22"/>
      <c r="AN32" s="22"/>
      <c r="AP32" s="22"/>
    </row>
    <row r="33" spans="1:42" s="23" customFormat="1" x14ac:dyDescent="0.25">
      <c r="M33" s="22"/>
      <c r="N33" s="22"/>
      <c r="AN33" s="22"/>
      <c r="AP33" s="22"/>
    </row>
    <row r="34" spans="1:42" s="36" customFormat="1" x14ac:dyDescent="0.25">
      <c r="A34" s="36" t="s">
        <v>148</v>
      </c>
      <c r="M34" s="3"/>
      <c r="N34" s="3"/>
      <c r="O34" s="10" t="s">
        <v>288</v>
      </c>
      <c r="AA34" s="3"/>
      <c r="AB34" s="3"/>
      <c r="AC34" s="10" t="s">
        <v>246</v>
      </c>
      <c r="AN34" s="115"/>
      <c r="AP34" s="115"/>
    </row>
    <row r="35" spans="1:42" s="36" customFormat="1" x14ac:dyDescent="0.25">
      <c r="M35" s="3"/>
      <c r="N35" s="3"/>
      <c r="AA35" s="3"/>
      <c r="AB35" s="3"/>
      <c r="AC35" s="2" t="s">
        <v>289</v>
      </c>
      <c r="AN35" s="115"/>
      <c r="AP35" s="115"/>
    </row>
    <row r="36" spans="1:42" s="36" customFormat="1" ht="17.25" x14ac:dyDescent="0.25">
      <c r="A36" s="12" t="s">
        <v>130</v>
      </c>
      <c r="B36" s="48">
        <v>-0.8</v>
      </c>
      <c r="D36" s="1" t="s">
        <v>133</v>
      </c>
      <c r="E36" s="1">
        <f>B37</f>
        <v>0.5</v>
      </c>
      <c r="G36" s="1">
        <f>B36</f>
        <v>-0.8</v>
      </c>
      <c r="H36" s="36" t="s">
        <v>12</v>
      </c>
      <c r="J36" s="36" t="s">
        <v>157</v>
      </c>
      <c r="M36" s="36" t="s">
        <v>158</v>
      </c>
      <c r="O36" s="12" t="s">
        <v>130</v>
      </c>
      <c r="P36" s="48">
        <v>-1.6</v>
      </c>
      <c r="R36" s="1" t="s">
        <v>133</v>
      </c>
      <c r="S36" s="1">
        <f>P37</f>
        <v>3.45</v>
      </c>
      <c r="U36" s="1">
        <f>P36</f>
        <v>-1.6</v>
      </c>
      <c r="V36" s="36" t="s">
        <v>12</v>
      </c>
      <c r="W36" s="36" t="s">
        <v>162</v>
      </c>
      <c r="AC36" s="2" t="s">
        <v>238</v>
      </c>
      <c r="AN36" s="115"/>
      <c r="AP36" s="115"/>
    </row>
    <row r="37" spans="1:42" s="36" customFormat="1" ht="17.25" x14ac:dyDescent="0.25">
      <c r="A37" s="14" t="s">
        <v>131</v>
      </c>
      <c r="B37" s="17">
        <v>0.5</v>
      </c>
      <c r="D37" s="52" t="s">
        <v>134</v>
      </c>
      <c r="E37" s="52">
        <f>B37</f>
        <v>0.5</v>
      </c>
      <c r="F37" s="53" t="s">
        <v>135</v>
      </c>
      <c r="G37" s="53">
        <f>B36</f>
        <v>-0.8</v>
      </c>
      <c r="H37" s="53" t="s">
        <v>136</v>
      </c>
      <c r="J37" s="36" t="s">
        <v>156</v>
      </c>
      <c r="M37" s="36" t="s">
        <v>155</v>
      </c>
      <c r="O37" s="14" t="s">
        <v>131</v>
      </c>
      <c r="P37" s="17">
        <v>3.45</v>
      </c>
      <c r="R37" s="52" t="s">
        <v>134</v>
      </c>
      <c r="S37" s="52">
        <f>P37</f>
        <v>3.45</v>
      </c>
      <c r="T37" s="53" t="s">
        <v>135</v>
      </c>
      <c r="U37" s="53">
        <f>P36</f>
        <v>-1.6</v>
      </c>
      <c r="V37" s="53" t="s">
        <v>136</v>
      </c>
      <c r="AC37" s="36" t="s">
        <v>247</v>
      </c>
      <c r="AH37" s="36" t="s">
        <v>303</v>
      </c>
      <c r="AN37" s="115"/>
      <c r="AP37" s="115"/>
    </row>
    <row r="38" spans="1:42" s="36" customFormat="1" ht="15.75" thickBot="1" x14ac:dyDescent="0.3">
      <c r="A38" s="16" t="s">
        <v>13</v>
      </c>
      <c r="B38" s="17" t="s">
        <v>12</v>
      </c>
      <c r="D38" s="1" t="s">
        <v>137</v>
      </c>
      <c r="E38" s="36">
        <f>B37</f>
        <v>0.5</v>
      </c>
      <c r="F38" s="36" t="s">
        <v>139</v>
      </c>
      <c r="G38" s="36">
        <f>B36</f>
        <v>-0.8</v>
      </c>
      <c r="H38" s="36" t="s">
        <v>138</v>
      </c>
      <c r="M38" s="3"/>
      <c r="N38" s="3"/>
      <c r="O38" s="16" t="s">
        <v>13</v>
      </c>
      <c r="P38" s="17" t="s">
        <v>12</v>
      </c>
      <c r="R38" s="1" t="s">
        <v>137</v>
      </c>
      <c r="S38" s="36">
        <f>P37</f>
        <v>3.45</v>
      </c>
      <c r="T38" s="36" t="s">
        <v>139</v>
      </c>
      <c r="U38" s="36">
        <f>P36</f>
        <v>-1.6</v>
      </c>
      <c r="V38" s="36" t="s">
        <v>138</v>
      </c>
      <c r="AA38" s="3"/>
      <c r="AB38" s="3"/>
      <c r="AN38" s="115"/>
      <c r="AP38" s="115"/>
    </row>
    <row r="39" spans="1:42" s="36" customFormat="1" ht="15.75" thickBot="1" x14ac:dyDescent="0.3">
      <c r="A39" s="16">
        <f>B39*$B$36+$B$37</f>
        <v>-1.1000000000000001</v>
      </c>
      <c r="B39" s="17">
        <v>2</v>
      </c>
      <c r="D39" s="49" t="s">
        <v>137</v>
      </c>
      <c r="E39" s="50">
        <f>B37</f>
        <v>0.5</v>
      </c>
      <c r="F39" s="50" t="s">
        <v>139</v>
      </c>
      <c r="G39" s="50">
        <f>B36/1.6</f>
        <v>-0.5</v>
      </c>
      <c r="H39" s="51"/>
      <c r="I39" s="36" t="s">
        <v>140</v>
      </c>
      <c r="J39" s="36" t="s">
        <v>154</v>
      </c>
      <c r="M39" s="3"/>
      <c r="N39" s="3"/>
      <c r="O39" s="16">
        <f>P39*$B$36+$B$37</f>
        <v>-2.7</v>
      </c>
      <c r="P39" s="17">
        <v>4</v>
      </c>
      <c r="R39" s="49" t="s">
        <v>137</v>
      </c>
      <c r="S39" s="50">
        <f>P37</f>
        <v>3.45</v>
      </c>
      <c r="T39" s="50" t="s">
        <v>139</v>
      </c>
      <c r="U39" s="50">
        <f>P36/1.6</f>
        <v>-1</v>
      </c>
      <c r="V39" s="51"/>
      <c r="W39" s="36" t="s">
        <v>140</v>
      </c>
      <c r="X39" s="36" t="s">
        <v>244</v>
      </c>
      <c r="AA39" s="3"/>
      <c r="AB39" s="3"/>
      <c r="AC39" s="88" t="s">
        <v>248</v>
      </c>
      <c r="AD39" s="87">
        <v>0.25</v>
      </c>
      <c r="AE39" s="3"/>
      <c r="AF39" s="3"/>
      <c r="AG39" s="3"/>
      <c r="AH39" s="211" t="s">
        <v>232</v>
      </c>
      <c r="AI39" s="211"/>
      <c r="AJ39" s="211"/>
      <c r="AK39" s="211"/>
      <c r="AL39" s="211" t="s">
        <v>231</v>
      </c>
      <c r="AM39" s="211"/>
      <c r="AN39" s="211"/>
      <c r="AO39" s="211"/>
      <c r="AP39" s="115"/>
    </row>
    <row r="40" spans="1:42" s="36" customFormat="1" ht="17.25" x14ac:dyDescent="0.25">
      <c r="A40" s="18">
        <f>B40*$B$36+$B$37</f>
        <v>-9.1000000000000014</v>
      </c>
      <c r="B40" s="19">
        <v>12</v>
      </c>
      <c r="D40" s="60" t="s">
        <v>150</v>
      </c>
      <c r="E40" s="10"/>
      <c r="F40" s="10"/>
      <c r="M40" s="3"/>
      <c r="N40" s="3"/>
      <c r="O40" s="18">
        <f>P40*$B$36+$B$37</f>
        <v>-9.1000000000000014</v>
      </c>
      <c r="P40" s="19">
        <v>12</v>
      </c>
      <c r="R40" s="60" t="s">
        <v>159</v>
      </c>
      <c r="S40" s="10"/>
      <c r="T40" s="10"/>
      <c r="AA40" s="3"/>
      <c r="AB40" s="3"/>
      <c r="AC40" s="3" t="s">
        <v>143</v>
      </c>
      <c r="AD40" s="3" t="s">
        <v>230</v>
      </c>
      <c r="AE40" s="3" t="s">
        <v>229</v>
      </c>
      <c r="AF40" s="3" t="s">
        <v>228</v>
      </c>
      <c r="AG40" s="3" t="s">
        <v>227</v>
      </c>
      <c r="AH40" s="3" t="s">
        <v>8</v>
      </c>
      <c r="AI40" s="3" t="s">
        <v>96</v>
      </c>
      <c r="AJ40" s="3" t="s">
        <v>13</v>
      </c>
      <c r="AK40" s="3" t="s">
        <v>226</v>
      </c>
      <c r="AL40" s="3" t="s">
        <v>8</v>
      </c>
      <c r="AM40" s="3" t="s">
        <v>96</v>
      </c>
      <c r="AN40" s="115" t="s">
        <v>13</v>
      </c>
      <c r="AO40" s="3" t="s">
        <v>226</v>
      </c>
      <c r="AP40" s="115" t="s">
        <v>139</v>
      </c>
    </row>
    <row r="41" spans="1:42" s="36" customFormat="1" x14ac:dyDescent="0.25">
      <c r="A41" s="43"/>
      <c r="B41" s="43"/>
      <c r="D41" s="60"/>
      <c r="E41" s="10"/>
      <c r="F41" s="10"/>
      <c r="M41" s="3"/>
      <c r="N41" s="3"/>
      <c r="O41" s="43"/>
      <c r="P41" s="43"/>
      <c r="R41" s="60"/>
      <c r="S41" s="10"/>
      <c r="T41" s="10"/>
      <c r="AA41" s="3"/>
      <c r="AB41" s="3"/>
      <c r="AC41" s="3">
        <v>0.95</v>
      </c>
      <c r="AD41" s="4">
        <f>0.06/$AD$39/$AD$39</f>
        <v>0.96</v>
      </c>
      <c r="AE41" s="4">
        <f>-0.23/$AD$39</f>
        <v>-0.92</v>
      </c>
      <c r="AF41" s="4">
        <f>1.36-0.375*AC41/$AD$39</f>
        <v>-6.4999999999999725E-2</v>
      </c>
      <c r="AG41" s="4">
        <f>AE41*AE41-4*AD41*AF41</f>
        <v>1.095999999999999</v>
      </c>
      <c r="AH41" s="4">
        <f t="shared" ref="AH41" si="0">(-AE41+SQRT(AG41))/2/AD41</f>
        <v>1.0244271803459331</v>
      </c>
      <c r="AI41" s="4">
        <f t="shared" ref="AI41" si="1">AH41/AC41</f>
        <v>1.07834440036414</v>
      </c>
      <c r="AJ41" s="4">
        <f t="shared" ref="AJ41" si="2">AH41/$AD$39</f>
        <v>4.0977087213837322</v>
      </c>
      <c r="AK41" s="3">
        <f t="shared" ref="AK41" si="3">0.06/$AD$39/$AD$39*AH41*AH41-0.23/$AD$39*AH41+1.36-0.375*AC41/$AD$39</f>
        <v>0</v>
      </c>
      <c r="AL41" s="4">
        <f t="shared" ref="AL41" si="4">(-AE41-SQRT(AG41))/2/AD41</f>
        <v>-6.6093847012599752E-2</v>
      </c>
      <c r="AM41" s="4">
        <f t="shared" ref="AM41" si="5">AL41/AC41</f>
        <v>-6.9572470539578685E-2</v>
      </c>
      <c r="AN41" s="4">
        <f t="shared" ref="AN41" si="6">AL41/$AD$39</f>
        <v>-0.26437538805039901</v>
      </c>
      <c r="AO41" s="3">
        <f t="shared" ref="AO41" si="7">0.06/$AD$39/$AD$39*AL41*AL41-0.23/$AD$39*AL41+1.36-0.375*AC41/$AD$39</f>
        <v>0</v>
      </c>
      <c r="AP41" s="4">
        <f>$AD$39/AC41</f>
        <v>0.26315789473684209</v>
      </c>
    </row>
    <row r="42" spans="1:42" x14ac:dyDescent="0.25">
      <c r="O42" s="36"/>
      <c r="P42" s="36"/>
      <c r="Q42" s="36"/>
      <c r="R42" s="36"/>
      <c r="S42" s="36"/>
      <c r="T42" s="36"/>
      <c r="U42" s="36"/>
      <c r="V42" s="36"/>
      <c r="W42" s="36"/>
      <c r="X42" s="36"/>
      <c r="Y42" s="36"/>
      <c r="Z42" s="36"/>
      <c r="AA42" s="3"/>
      <c r="AB42" s="3"/>
      <c r="AC42" s="22">
        <v>1</v>
      </c>
      <c r="AD42" s="4">
        <f>0.06/$AD$39/$AD$39</f>
        <v>0.96</v>
      </c>
      <c r="AE42" s="4">
        <f>-0.23/$AD$39</f>
        <v>-0.92</v>
      </c>
      <c r="AF42" s="4">
        <f>1.36-0.375*AC42/$AD$39</f>
        <v>-0.1399999999999999</v>
      </c>
      <c r="AG42" s="4">
        <f>AE42*AE42-4*AD42*AF42</f>
        <v>1.3839999999999997</v>
      </c>
      <c r="AH42" s="4">
        <f t="shared" ref="AH42:AH43" si="8">(-AE42+SQRT(AG42))/2/AD42</f>
        <v>1.0918933820771974</v>
      </c>
      <c r="AI42" s="4">
        <f t="shared" ref="AI42:AI43" si="9">AH42/AC42</f>
        <v>1.0918933820771974</v>
      </c>
      <c r="AJ42" s="4">
        <f t="shared" ref="AJ42:AJ43" si="10">AH42/$AD$39</f>
        <v>4.3675735283087898</v>
      </c>
      <c r="AK42" s="3">
        <f t="shared" ref="AK42:AK43" si="11">0.06/$AD$39/$AD$39*AH42*AH42-0.23/$AD$39*AH42+1.36-0.375*AC42/$AD$39</f>
        <v>0</v>
      </c>
      <c r="AL42" s="4">
        <f t="shared" ref="AL42:AL43" si="12">(-AE42-SQRT(AG42))/2/AD42</f>
        <v>-0.13356004874386415</v>
      </c>
      <c r="AM42" s="4">
        <f t="shared" ref="AM42:AM43" si="13">AL42/AC42</f>
        <v>-0.13356004874386415</v>
      </c>
      <c r="AN42" s="4">
        <f t="shared" ref="AN42:AN43" si="14">AL42/$AD$39</f>
        <v>-0.53424019497545661</v>
      </c>
      <c r="AO42" s="3">
        <f t="shared" ref="AO42:AO43" si="15">0.06/$AD$39/$AD$39*AL42*AL42-0.23/$AD$39*AL42+1.36-0.375*AC42/$AD$39</f>
        <v>0</v>
      </c>
      <c r="AP42" s="4">
        <f t="shared" ref="AP42:AP45" si="16">$AD$39/AC42</f>
        <v>0.25</v>
      </c>
    </row>
    <row r="43" spans="1:42" x14ac:dyDescent="0.25">
      <c r="A43" s="3" t="s">
        <v>139</v>
      </c>
      <c r="B43" s="3" t="s">
        <v>96</v>
      </c>
      <c r="D43" s="3" t="s">
        <v>13</v>
      </c>
      <c r="E43" s="3" t="s">
        <v>12</v>
      </c>
      <c r="F43" s="36"/>
      <c r="G43" s="36"/>
      <c r="O43" s="22" t="s">
        <v>139</v>
      </c>
      <c r="P43" s="22" t="s">
        <v>96</v>
      </c>
      <c r="Q43" s="23"/>
      <c r="R43" s="22" t="s">
        <v>13</v>
      </c>
      <c r="S43" s="22" t="s">
        <v>12</v>
      </c>
      <c r="T43" s="23"/>
      <c r="U43" s="23"/>
      <c r="V43" s="70" t="s">
        <v>245</v>
      </c>
      <c r="W43" s="63"/>
      <c r="X43" s="23"/>
      <c r="Y43" s="23"/>
      <c r="Z43" s="23"/>
      <c r="AA43" s="22"/>
      <c r="AB43" s="3"/>
      <c r="AC43" s="22">
        <v>1.5</v>
      </c>
      <c r="AD43" s="4">
        <f t="shared" ref="AD43:AD56" si="17">0.06/$AD$39/$AD$39</f>
        <v>0.96</v>
      </c>
      <c r="AE43" s="4">
        <f t="shared" ref="AE43:AE56" si="18">-0.23/$AD$39</f>
        <v>-0.92</v>
      </c>
      <c r="AF43" s="4">
        <f t="shared" ref="AF43:AF56" si="19">1.36-0.375*AC43/$AD$39</f>
        <v>-0.8899999999999999</v>
      </c>
      <c r="AG43" s="4">
        <f t="shared" ref="AG43:AG56" si="20">AE43*AE43-4*AD43*AF43</f>
        <v>4.2639999999999993</v>
      </c>
      <c r="AH43" s="4">
        <f t="shared" si="8"/>
        <v>1.5546591249283588</v>
      </c>
      <c r="AI43" s="4">
        <f t="shared" si="9"/>
        <v>1.0364394166189059</v>
      </c>
      <c r="AJ43" s="4">
        <f t="shared" si="10"/>
        <v>6.2186364997134351</v>
      </c>
      <c r="AK43" s="3">
        <f t="shared" si="11"/>
        <v>0</v>
      </c>
      <c r="AL43" s="4">
        <f t="shared" si="12"/>
        <v>-0.59632579159502552</v>
      </c>
      <c r="AM43" s="4">
        <f t="shared" si="13"/>
        <v>-0.39755052773001703</v>
      </c>
      <c r="AN43" s="4">
        <f t="shared" si="14"/>
        <v>-2.3853031663801021</v>
      </c>
      <c r="AO43" s="3">
        <f t="shared" si="15"/>
        <v>0</v>
      </c>
      <c r="AP43" s="4">
        <f t="shared" si="16"/>
        <v>0.16666666666666666</v>
      </c>
    </row>
    <row r="44" spans="1:42" s="36" customFormat="1" x14ac:dyDescent="0.25">
      <c r="A44" s="22">
        <v>0.05</v>
      </c>
      <c r="B44" s="11">
        <f t="shared" ref="B44:B49" si="21">$G$39+$E$39*A44</f>
        <v>-0.47499999999999998</v>
      </c>
      <c r="C44" s="23"/>
      <c r="D44" s="55">
        <f t="shared" ref="D44:D49" si="22">B44/A44</f>
        <v>-9.4999999999999982</v>
      </c>
      <c r="E44" s="55">
        <f t="shared" ref="E44:E49" si="23">1/A44/1.6</f>
        <v>12.5</v>
      </c>
      <c r="F44" s="23"/>
      <c r="M44" s="3"/>
      <c r="N44" s="3"/>
      <c r="O44" s="7">
        <v>0.05</v>
      </c>
      <c r="P44" s="8">
        <f t="shared" ref="P44:P50" si="24">$U$39+$S$39*O44</f>
        <v>-0.82750000000000001</v>
      </c>
      <c r="Q44" s="9"/>
      <c r="R44" s="54">
        <f t="shared" ref="R44:R50" si="25">P44/O44</f>
        <v>-16.55</v>
      </c>
      <c r="S44" s="54">
        <f t="shared" ref="S44:S50" si="26">1/O44/1.6</f>
        <v>12.5</v>
      </c>
      <c r="T44" s="23" t="s">
        <v>151</v>
      </c>
      <c r="U44" s="23"/>
      <c r="V44" s="71" t="s">
        <v>163</v>
      </c>
      <c r="W44" s="66"/>
      <c r="X44" s="23"/>
      <c r="Y44" s="23"/>
      <c r="Z44" s="23"/>
      <c r="AA44" s="22"/>
      <c r="AB44" s="3"/>
      <c r="AC44" s="22">
        <v>2</v>
      </c>
      <c r="AD44" s="4">
        <f t="shared" si="17"/>
        <v>0.96</v>
      </c>
      <c r="AE44" s="4">
        <f t="shared" si="18"/>
        <v>-0.92</v>
      </c>
      <c r="AF44" s="4">
        <f t="shared" si="19"/>
        <v>-1.64</v>
      </c>
      <c r="AG44" s="4">
        <f t="shared" si="20"/>
        <v>7.1439999999999992</v>
      </c>
      <c r="AH44" s="4">
        <f>(-AE44+SQRT(AG44))/2/AD44</f>
        <v>1.8712636560240095</v>
      </c>
      <c r="AI44" s="4">
        <f>AH44/AC44</f>
        <v>0.93563182801200473</v>
      </c>
      <c r="AJ44" s="4">
        <f>AH44/$AD$39</f>
        <v>7.4850546240960378</v>
      </c>
      <c r="AK44" s="3">
        <f>0.06/$AD$39/$AD$39*AH44*AH44-0.23/$AD$39*AH44+1.36-0.375*AC44/$AD$39</f>
        <v>0</v>
      </c>
      <c r="AL44" s="8">
        <f t="shared" ref="AL44" si="27">(-AE44-SQRT(AG44))/2/AD44</f>
        <v>-0.91293032269067609</v>
      </c>
      <c r="AM44" s="8">
        <f t="shared" ref="AM44" si="28">AL44/AC44</f>
        <v>-0.45646516134533804</v>
      </c>
      <c r="AN44" s="8">
        <f t="shared" ref="AN44" si="29">AL44/$AD$39</f>
        <v>-3.6517212907627044</v>
      </c>
      <c r="AO44" s="7">
        <f t="shared" ref="AO44" si="30">0.06/$AD$39/$AD$39*AL44*AL44-0.23/$AD$39*AL44+1.36-0.375*AC44/$AD$39</f>
        <v>0</v>
      </c>
      <c r="AP44" s="4">
        <f t="shared" si="16"/>
        <v>0.125</v>
      </c>
    </row>
    <row r="45" spans="1:42" s="36" customFormat="1" x14ac:dyDescent="0.25">
      <c r="A45" s="22">
        <v>7.0000000000000007E-2</v>
      </c>
      <c r="B45" s="11">
        <f t="shared" si="21"/>
        <v>-0.46499999999999997</v>
      </c>
      <c r="C45" s="23"/>
      <c r="D45" s="55">
        <f t="shared" si="22"/>
        <v>-6.6428571428571415</v>
      </c>
      <c r="E45" s="55">
        <f t="shared" si="23"/>
        <v>8.928571428571427</v>
      </c>
      <c r="F45" s="23"/>
      <c r="M45" s="3"/>
      <c r="N45" s="3"/>
      <c r="O45" s="7">
        <v>7.0000000000000007E-2</v>
      </c>
      <c r="P45" s="8">
        <f t="shared" si="24"/>
        <v>-0.75849999999999995</v>
      </c>
      <c r="Q45" s="9"/>
      <c r="R45" s="54">
        <f t="shared" si="25"/>
        <v>-10.835714285714284</v>
      </c>
      <c r="S45" s="54">
        <f t="shared" si="26"/>
        <v>8.928571428571427</v>
      </c>
      <c r="T45" s="23" t="s">
        <v>151</v>
      </c>
      <c r="U45" s="23"/>
      <c r="V45" s="71" t="s">
        <v>160</v>
      </c>
      <c r="W45" s="66"/>
      <c r="X45" s="23"/>
      <c r="Y45" s="23"/>
      <c r="Z45" s="23"/>
      <c r="AA45" s="22"/>
      <c r="AB45" s="3"/>
      <c r="AC45" s="22">
        <v>3</v>
      </c>
      <c r="AD45" s="4">
        <f t="shared" si="17"/>
        <v>0.96</v>
      </c>
      <c r="AE45" s="4">
        <f t="shared" si="18"/>
        <v>-0.92</v>
      </c>
      <c r="AF45" s="4">
        <f t="shared" si="19"/>
        <v>-3.1399999999999997</v>
      </c>
      <c r="AG45" s="4">
        <f t="shared" si="20"/>
        <v>12.904</v>
      </c>
      <c r="AH45" s="4">
        <f t="shared" ref="AH45:AH56" si="31">(-AE45+SQRT(AG45))/2/AD45</f>
        <v>2.350111355260581</v>
      </c>
      <c r="AI45" s="4">
        <f t="shared" ref="AI45:AI56" si="32">AH45/AC45</f>
        <v>0.78337045175352704</v>
      </c>
      <c r="AJ45" s="4">
        <f t="shared" ref="AJ45:AJ56" si="33">AH45/$AD$39</f>
        <v>9.4004454210423241</v>
      </c>
      <c r="AK45" s="3">
        <f t="shared" ref="AK45:AK56" si="34">0.06/$AD$39/$AD$39*AH45*AH45-0.23/$AD$39*AH45+1.36-0.375*AC45/$AD$39</f>
        <v>0</v>
      </c>
      <c r="AL45" s="8">
        <f t="shared" ref="AL45" si="35">(-AE45-SQRT(AG45))/2/AD45</f>
        <v>-1.3917780219272473</v>
      </c>
      <c r="AM45" s="8">
        <f t="shared" ref="AM45" si="36">AL45/AC45</f>
        <v>-0.46392600730908246</v>
      </c>
      <c r="AN45" s="8">
        <f t="shared" ref="AN45" si="37">AL45/$AD$39</f>
        <v>-5.5671120877089892</v>
      </c>
      <c r="AO45" s="7">
        <f t="shared" ref="AO45" si="38">0.06/$AD$39/$AD$39*AL45*AL45-0.23/$AD$39*AL45+1.36-0.375*AC45/$AD$39</f>
        <v>0</v>
      </c>
      <c r="AP45" s="4">
        <f t="shared" si="16"/>
        <v>8.3333333333333329E-2</v>
      </c>
    </row>
    <row r="46" spans="1:42" s="36" customFormat="1" x14ac:dyDescent="0.25">
      <c r="A46" s="11">
        <v>0.1</v>
      </c>
      <c r="B46" s="11">
        <f t="shared" si="21"/>
        <v>-0.45</v>
      </c>
      <c r="C46" s="23"/>
      <c r="D46" s="55">
        <f t="shared" si="22"/>
        <v>-4.5</v>
      </c>
      <c r="E46" s="55">
        <f t="shared" si="23"/>
        <v>6.25</v>
      </c>
      <c r="F46" s="23"/>
      <c r="N46" s="3"/>
      <c r="O46" s="8">
        <v>0.1</v>
      </c>
      <c r="P46" s="8">
        <f t="shared" si="24"/>
        <v>-0.65500000000000003</v>
      </c>
      <c r="Q46" s="9"/>
      <c r="R46" s="54">
        <f t="shared" si="25"/>
        <v>-6.55</v>
      </c>
      <c r="S46" s="54">
        <f t="shared" si="26"/>
        <v>6.25</v>
      </c>
      <c r="T46" s="23" t="s">
        <v>151</v>
      </c>
      <c r="U46" s="23"/>
      <c r="V46" s="72" t="s">
        <v>164</v>
      </c>
      <c r="W46" s="69"/>
      <c r="X46" s="23"/>
      <c r="Y46" s="23"/>
      <c r="Z46" s="23"/>
      <c r="AB46" s="3"/>
      <c r="AC46" s="22">
        <v>5</v>
      </c>
      <c r="AD46" s="4">
        <f t="shared" si="17"/>
        <v>0.96</v>
      </c>
      <c r="AE46" s="4">
        <f t="shared" si="18"/>
        <v>-0.92</v>
      </c>
      <c r="AF46" s="4">
        <f t="shared" si="19"/>
        <v>-6.14</v>
      </c>
      <c r="AG46" s="4">
        <f t="shared" si="20"/>
        <v>24.423999999999996</v>
      </c>
      <c r="AH46" s="4">
        <f t="shared" si="31"/>
        <v>3.0531585135414341</v>
      </c>
      <c r="AI46" s="4">
        <f t="shared" si="32"/>
        <v>0.61063170270828682</v>
      </c>
      <c r="AJ46" s="4">
        <f t="shared" si="33"/>
        <v>12.212634054165736</v>
      </c>
      <c r="AK46" s="3">
        <f t="shared" si="34"/>
        <v>0</v>
      </c>
      <c r="AL46" s="8"/>
      <c r="AM46" s="8"/>
      <c r="AN46" s="8"/>
      <c r="AO46" s="7"/>
      <c r="AP46" s="4"/>
    </row>
    <row r="47" spans="1:42" s="36" customFormat="1" x14ac:dyDescent="0.25">
      <c r="A47" s="22">
        <v>0.15</v>
      </c>
      <c r="B47" s="11">
        <f t="shared" si="21"/>
        <v>-0.42499999999999999</v>
      </c>
      <c r="C47" s="23"/>
      <c r="D47" s="55">
        <f t="shared" si="22"/>
        <v>-2.8333333333333335</v>
      </c>
      <c r="E47" s="55">
        <f t="shared" si="23"/>
        <v>4.166666666666667</v>
      </c>
      <c r="F47" s="23"/>
      <c r="N47" s="3"/>
      <c r="O47" s="22">
        <v>0.15</v>
      </c>
      <c r="P47" s="11">
        <f t="shared" si="24"/>
        <v>-0.48250000000000004</v>
      </c>
      <c r="Q47" s="23"/>
      <c r="R47" s="55">
        <f t="shared" si="25"/>
        <v>-3.2166666666666672</v>
      </c>
      <c r="S47" s="55">
        <f t="shared" si="26"/>
        <v>4.166666666666667</v>
      </c>
      <c r="T47" s="23"/>
      <c r="U47" s="23"/>
      <c r="V47" s="23"/>
      <c r="W47" s="23"/>
      <c r="X47" s="23"/>
      <c r="Y47" s="23"/>
      <c r="Z47" s="23"/>
      <c r="AB47" s="3"/>
      <c r="AC47" s="22">
        <v>6</v>
      </c>
      <c r="AD47" s="4">
        <f t="shared" si="17"/>
        <v>0.96</v>
      </c>
      <c r="AE47" s="4">
        <f t="shared" si="18"/>
        <v>-0.92</v>
      </c>
      <c r="AF47" s="4">
        <f t="shared" si="19"/>
        <v>-7.64</v>
      </c>
      <c r="AG47" s="4">
        <f t="shared" si="20"/>
        <v>30.183999999999997</v>
      </c>
      <c r="AH47" s="4">
        <f t="shared" si="31"/>
        <v>3.3406232935925018</v>
      </c>
      <c r="AI47" s="4">
        <f t="shared" si="32"/>
        <v>0.55677054893208366</v>
      </c>
      <c r="AJ47" s="4">
        <f t="shared" si="33"/>
        <v>13.362493174370007</v>
      </c>
      <c r="AK47" s="3">
        <f t="shared" si="34"/>
        <v>0</v>
      </c>
      <c r="AL47" s="8"/>
      <c r="AM47" s="8"/>
      <c r="AN47" s="8"/>
      <c r="AO47" s="7"/>
      <c r="AP47" s="4"/>
    </row>
    <row r="48" spans="1:42" x14ac:dyDescent="0.25">
      <c r="A48" s="8">
        <v>0.2</v>
      </c>
      <c r="B48" s="8">
        <f t="shared" si="21"/>
        <v>-0.4</v>
      </c>
      <c r="C48" s="9"/>
      <c r="D48" s="54">
        <f t="shared" si="22"/>
        <v>-2</v>
      </c>
      <c r="E48" s="54">
        <f t="shared" si="23"/>
        <v>3.125</v>
      </c>
      <c r="F48" s="23" t="s">
        <v>151</v>
      </c>
      <c r="G48" s="36"/>
      <c r="O48" s="11">
        <v>0.2</v>
      </c>
      <c r="P48" s="11">
        <f t="shared" si="24"/>
        <v>-0.30999999999999994</v>
      </c>
      <c r="Q48" s="23"/>
      <c r="R48" s="55">
        <f t="shared" si="25"/>
        <v>-1.5499999999999996</v>
      </c>
      <c r="S48" s="55">
        <f t="shared" si="26"/>
        <v>3.125</v>
      </c>
      <c r="U48" s="23"/>
      <c r="V48" s="23"/>
      <c r="W48" s="23"/>
      <c r="X48" s="23"/>
      <c r="Y48" s="23"/>
      <c r="Z48" s="23"/>
      <c r="AB48" s="3"/>
      <c r="AC48" s="22">
        <v>7</v>
      </c>
      <c r="AD48" s="4">
        <f t="shared" si="17"/>
        <v>0.96</v>
      </c>
      <c r="AE48" s="4">
        <f t="shared" si="18"/>
        <v>-0.92</v>
      </c>
      <c r="AF48" s="4">
        <f t="shared" si="19"/>
        <v>-9.14</v>
      </c>
      <c r="AG48" s="4">
        <f t="shared" si="20"/>
        <v>35.944000000000003</v>
      </c>
      <c r="AH48" s="4">
        <f t="shared" si="31"/>
        <v>3.6017351651591785</v>
      </c>
      <c r="AI48" s="4">
        <f t="shared" si="32"/>
        <v>0.51453359502273976</v>
      </c>
      <c r="AJ48" s="4">
        <f t="shared" si="33"/>
        <v>14.406940660636714</v>
      </c>
      <c r="AK48" s="3">
        <f t="shared" si="34"/>
        <v>0</v>
      </c>
      <c r="AL48" s="8"/>
      <c r="AM48" s="8"/>
      <c r="AN48" s="8"/>
      <c r="AO48" s="7"/>
      <c r="AP48" s="4"/>
    </row>
    <row r="49" spans="1:42" x14ac:dyDescent="0.25">
      <c r="A49" s="7">
        <v>0.25</v>
      </c>
      <c r="B49" s="8">
        <f t="shared" si="21"/>
        <v>-0.375</v>
      </c>
      <c r="C49" s="9"/>
      <c r="D49" s="54">
        <f t="shared" si="22"/>
        <v>-1.5</v>
      </c>
      <c r="E49" s="54">
        <f t="shared" si="23"/>
        <v>2.5</v>
      </c>
      <c r="F49" s="23" t="s">
        <v>151</v>
      </c>
      <c r="G49" s="36"/>
      <c r="O49" s="22">
        <v>0.25</v>
      </c>
      <c r="P49" s="11">
        <f t="shared" si="24"/>
        <v>-0.13749999999999996</v>
      </c>
      <c r="Q49" s="23"/>
      <c r="R49" s="55">
        <f t="shared" si="25"/>
        <v>-0.54999999999999982</v>
      </c>
      <c r="S49" s="55">
        <f t="shared" si="26"/>
        <v>2.5</v>
      </c>
      <c r="T49" s="23"/>
      <c r="U49" s="23"/>
      <c r="V49" s="23"/>
      <c r="W49" s="23"/>
      <c r="X49" s="23"/>
      <c r="Y49" s="23"/>
      <c r="Z49" s="23"/>
      <c r="AB49" s="3"/>
      <c r="AC49" s="22">
        <v>8</v>
      </c>
      <c r="AD49" s="4">
        <f t="shared" si="17"/>
        <v>0.96</v>
      </c>
      <c r="AE49" s="4">
        <f t="shared" si="18"/>
        <v>-0.92</v>
      </c>
      <c r="AF49" s="4">
        <f t="shared" si="19"/>
        <v>-10.64</v>
      </c>
      <c r="AG49" s="4">
        <f t="shared" si="20"/>
        <v>41.704000000000001</v>
      </c>
      <c r="AH49" s="4">
        <f t="shared" si="31"/>
        <v>3.8426371998775313</v>
      </c>
      <c r="AI49" s="4">
        <f t="shared" si="32"/>
        <v>0.48032964998469141</v>
      </c>
      <c r="AJ49" s="4">
        <f t="shared" si="33"/>
        <v>15.370548799510125</v>
      </c>
      <c r="AK49" s="3">
        <f t="shared" si="34"/>
        <v>0</v>
      </c>
      <c r="AL49" s="8"/>
      <c r="AM49" s="8"/>
      <c r="AN49" s="8"/>
      <c r="AO49" s="7"/>
    </row>
    <row r="50" spans="1:42" x14ac:dyDescent="0.25">
      <c r="A50" s="23"/>
      <c r="B50" s="23"/>
      <c r="C50" s="23"/>
      <c r="D50" s="23"/>
      <c r="E50" s="23"/>
      <c r="F50" s="23"/>
      <c r="O50" s="11">
        <v>0.3</v>
      </c>
      <c r="P50" s="11">
        <f t="shared" si="24"/>
        <v>3.499999999999992E-2</v>
      </c>
      <c r="Q50" s="23"/>
      <c r="R50" s="55">
        <f t="shared" si="25"/>
        <v>0.1166666666666664</v>
      </c>
      <c r="S50" s="55">
        <f t="shared" si="26"/>
        <v>2.0833333333333335</v>
      </c>
      <c r="T50" s="23"/>
      <c r="U50" s="23"/>
      <c r="V50" s="23"/>
      <c r="W50" s="23"/>
      <c r="X50" s="23"/>
      <c r="Y50" s="23"/>
      <c r="AA50" s="22"/>
      <c r="AB50" s="3"/>
      <c r="AC50" s="22">
        <v>9</v>
      </c>
      <c r="AD50" s="4">
        <f t="shared" si="17"/>
        <v>0.96</v>
      </c>
      <c r="AE50" s="4">
        <f t="shared" si="18"/>
        <v>-0.92</v>
      </c>
      <c r="AF50" s="4">
        <f t="shared" si="19"/>
        <v>-12.14</v>
      </c>
      <c r="AG50" s="4">
        <f t="shared" si="20"/>
        <v>47.464000000000006</v>
      </c>
      <c r="AH50" s="4">
        <f t="shared" si="31"/>
        <v>4.0674021700551748</v>
      </c>
      <c r="AI50" s="4">
        <f t="shared" si="32"/>
        <v>0.45193357445057497</v>
      </c>
      <c r="AJ50" s="4">
        <f t="shared" si="33"/>
        <v>16.269608680220699</v>
      </c>
      <c r="AK50" s="3">
        <f t="shared" si="34"/>
        <v>0</v>
      </c>
      <c r="AL50" s="8"/>
      <c r="AM50" s="8"/>
      <c r="AN50" s="8"/>
      <c r="AO50" s="7"/>
    </row>
    <row r="51" spans="1:42" x14ac:dyDescent="0.25">
      <c r="A51" s="56" t="s">
        <v>142</v>
      </c>
      <c r="B51" s="57">
        <v>1</v>
      </c>
      <c r="C51" s="23"/>
      <c r="D51" s="61" t="s">
        <v>152</v>
      </c>
      <c r="E51" s="62"/>
      <c r="F51" s="63"/>
      <c r="O51" s="56" t="s">
        <v>142</v>
      </c>
      <c r="P51" s="57">
        <v>1</v>
      </c>
      <c r="Q51" s="23"/>
      <c r="R51" s="23"/>
      <c r="S51" s="23"/>
      <c r="T51" s="23"/>
      <c r="U51" s="23"/>
      <c r="V51" s="23"/>
      <c r="W51" s="23"/>
      <c r="X51" s="23"/>
      <c r="Y51" s="23"/>
      <c r="AA51" s="22"/>
      <c r="AB51" s="3"/>
      <c r="AC51" s="22">
        <v>10</v>
      </c>
      <c r="AD51" s="4">
        <f t="shared" si="17"/>
        <v>0.96</v>
      </c>
      <c r="AE51" s="4">
        <f t="shared" si="18"/>
        <v>-0.92</v>
      </c>
      <c r="AF51" s="4">
        <f t="shared" si="19"/>
        <v>-13.64</v>
      </c>
      <c r="AG51" s="4">
        <f t="shared" si="20"/>
        <v>53.224000000000004</v>
      </c>
      <c r="AH51" s="4">
        <f t="shared" si="31"/>
        <v>4.2788948184925024</v>
      </c>
      <c r="AI51" s="4">
        <f t="shared" si="32"/>
        <v>0.42788948184925024</v>
      </c>
      <c r="AJ51" s="4">
        <f t="shared" si="33"/>
        <v>17.11557927397001</v>
      </c>
      <c r="AK51" s="3">
        <f t="shared" si="34"/>
        <v>0</v>
      </c>
      <c r="AL51" s="8"/>
      <c r="AM51" s="8"/>
      <c r="AN51" s="8"/>
      <c r="AO51" s="7"/>
    </row>
    <row r="52" spans="1:42" x14ac:dyDescent="0.25">
      <c r="A52" s="22" t="s">
        <v>141</v>
      </c>
      <c r="B52" s="22" t="s">
        <v>8</v>
      </c>
      <c r="C52" s="22"/>
      <c r="D52" s="64" t="s">
        <v>153</v>
      </c>
      <c r="E52" s="65"/>
      <c r="F52" s="66"/>
      <c r="O52" s="22" t="s">
        <v>141</v>
      </c>
      <c r="P52" s="22" t="s">
        <v>8</v>
      </c>
      <c r="Q52" s="22"/>
      <c r="R52" s="22"/>
      <c r="S52" s="23"/>
      <c r="T52" s="23"/>
      <c r="U52" s="23"/>
      <c r="V52" s="23"/>
      <c r="W52" s="23"/>
      <c r="X52" s="23"/>
      <c r="Y52" s="23"/>
      <c r="AA52" s="22"/>
      <c r="AB52" s="3"/>
      <c r="AC52" s="22">
        <v>11</v>
      </c>
      <c r="AD52" s="4">
        <f t="shared" si="17"/>
        <v>0.96</v>
      </c>
      <c r="AE52" s="4">
        <f t="shared" si="18"/>
        <v>-0.92</v>
      </c>
      <c r="AF52" s="4">
        <f t="shared" si="19"/>
        <v>-15.14</v>
      </c>
      <c r="AG52" s="4">
        <f t="shared" si="20"/>
        <v>58.984000000000002</v>
      </c>
      <c r="AH52" s="4">
        <f t="shared" si="31"/>
        <v>4.4792209197709649</v>
      </c>
      <c r="AI52" s="4">
        <f t="shared" si="32"/>
        <v>0.40720190179736043</v>
      </c>
      <c r="AJ52" s="4">
        <f t="shared" si="33"/>
        <v>17.91688367908386</v>
      </c>
      <c r="AK52" s="3">
        <f t="shared" si="34"/>
        <v>0</v>
      </c>
      <c r="AL52" s="8"/>
      <c r="AM52" s="8"/>
      <c r="AN52" s="8"/>
      <c r="AO52" s="7"/>
    </row>
    <row r="53" spans="1:42" x14ac:dyDescent="0.25">
      <c r="A53" s="11">
        <f t="shared" ref="A53:B56" si="39">A44*$B$51</f>
        <v>0.05</v>
      </c>
      <c r="B53" s="11">
        <f t="shared" si="39"/>
        <v>-0.47499999999999998</v>
      </c>
      <c r="C53" s="55"/>
      <c r="D53" s="64" t="s">
        <v>160</v>
      </c>
      <c r="E53" s="65"/>
      <c r="F53" s="66"/>
      <c r="G53" s="36"/>
      <c r="J53" s="36"/>
      <c r="O53" s="8"/>
      <c r="P53" s="8"/>
      <c r="Q53" s="55"/>
      <c r="R53" s="55"/>
      <c r="S53" s="23"/>
      <c r="T53" s="23"/>
      <c r="U53" s="23"/>
      <c r="V53" s="23"/>
      <c r="W53" s="23"/>
      <c r="X53" s="23"/>
      <c r="Y53" s="23"/>
      <c r="AA53" s="22"/>
      <c r="AB53" s="3"/>
      <c r="AC53" s="22">
        <v>12</v>
      </c>
      <c r="AD53" s="4">
        <f t="shared" si="17"/>
        <v>0.96</v>
      </c>
      <c r="AE53" s="4">
        <f t="shared" si="18"/>
        <v>-0.92</v>
      </c>
      <c r="AF53" s="4">
        <f t="shared" si="19"/>
        <v>-16.64</v>
      </c>
      <c r="AG53" s="4">
        <f t="shared" si="20"/>
        <v>64.744</v>
      </c>
      <c r="AH53" s="4">
        <f t="shared" si="31"/>
        <v>4.6699821037597609</v>
      </c>
      <c r="AI53" s="4">
        <f t="shared" si="32"/>
        <v>0.38916517531331341</v>
      </c>
      <c r="AJ53" s="4">
        <f t="shared" si="33"/>
        <v>18.679928415039043</v>
      </c>
      <c r="AK53" s="3">
        <f t="shared" si="34"/>
        <v>0</v>
      </c>
      <c r="AL53" s="8"/>
      <c r="AM53" s="8"/>
      <c r="AN53" s="8"/>
      <c r="AO53" s="7"/>
    </row>
    <row r="54" spans="1:42" x14ac:dyDescent="0.25">
      <c r="A54" s="11">
        <f t="shared" si="39"/>
        <v>7.0000000000000007E-2</v>
      </c>
      <c r="B54" s="11">
        <f t="shared" si="39"/>
        <v>-0.46499999999999997</v>
      </c>
      <c r="C54" s="55"/>
      <c r="D54" s="67" t="s">
        <v>165</v>
      </c>
      <c r="E54" s="68"/>
      <c r="F54" s="69"/>
      <c r="G54" s="36"/>
      <c r="J54" s="36"/>
      <c r="O54" s="8"/>
      <c r="P54" s="8"/>
      <c r="Q54" s="55"/>
      <c r="R54" s="55"/>
      <c r="S54" s="23"/>
      <c r="T54" s="23"/>
      <c r="U54" s="23"/>
      <c r="V54" s="23"/>
      <c r="W54" s="23"/>
      <c r="X54" s="23"/>
      <c r="Y54" s="23"/>
      <c r="Z54" s="23"/>
      <c r="AA54" s="22"/>
      <c r="AB54" s="3"/>
      <c r="AC54" s="22">
        <v>13</v>
      </c>
      <c r="AD54" s="4">
        <f t="shared" si="17"/>
        <v>0.96</v>
      </c>
      <c r="AE54" s="4">
        <f t="shared" si="18"/>
        <v>-0.92</v>
      </c>
      <c r="AF54" s="4">
        <f t="shared" si="19"/>
        <v>-18.14</v>
      </c>
      <c r="AG54" s="4">
        <f t="shared" si="20"/>
        <v>70.504000000000005</v>
      </c>
      <c r="AH54" s="4">
        <f t="shared" si="31"/>
        <v>4.8524302109523054</v>
      </c>
      <c r="AI54" s="4">
        <f t="shared" si="32"/>
        <v>0.37326386238094655</v>
      </c>
      <c r="AJ54" s="4">
        <f t="shared" si="33"/>
        <v>19.409720843809222</v>
      </c>
      <c r="AK54" s="3">
        <f t="shared" si="34"/>
        <v>0</v>
      </c>
      <c r="AL54" s="8"/>
      <c r="AM54" s="8"/>
      <c r="AN54" s="8"/>
      <c r="AO54" s="7"/>
    </row>
    <row r="55" spans="1:42" x14ac:dyDescent="0.25">
      <c r="A55" s="11">
        <f t="shared" si="39"/>
        <v>0.1</v>
      </c>
      <c r="B55" s="11">
        <f t="shared" si="39"/>
        <v>-0.45</v>
      </c>
      <c r="C55" s="55"/>
      <c r="D55" s="55"/>
      <c r="E55" s="23"/>
      <c r="F55" s="23"/>
      <c r="G55" s="36"/>
      <c r="J55" s="36"/>
      <c r="O55" s="8"/>
      <c r="P55" s="8"/>
      <c r="Q55" s="55"/>
      <c r="R55" s="55"/>
      <c r="S55" s="23"/>
      <c r="T55" s="23"/>
      <c r="U55" s="23"/>
      <c r="V55" s="23"/>
      <c r="W55" s="23"/>
      <c r="X55" s="23"/>
      <c r="Y55" s="23"/>
      <c r="Z55" s="23"/>
      <c r="AA55" s="22"/>
      <c r="AB55" s="3"/>
      <c r="AC55" s="22">
        <v>14</v>
      </c>
      <c r="AD55" s="4">
        <f t="shared" si="17"/>
        <v>0.96</v>
      </c>
      <c r="AE55" s="4">
        <f t="shared" si="18"/>
        <v>-0.92</v>
      </c>
      <c r="AF55" s="4">
        <f t="shared" si="19"/>
        <v>-19.64</v>
      </c>
      <c r="AG55" s="4">
        <f t="shared" si="20"/>
        <v>76.263999999999996</v>
      </c>
      <c r="AH55" s="4">
        <f t="shared" si="31"/>
        <v>5.0275657287299085</v>
      </c>
      <c r="AI55" s="4">
        <f t="shared" si="32"/>
        <v>0.35911183776642203</v>
      </c>
      <c r="AJ55" s="4">
        <f t="shared" si="33"/>
        <v>20.110262914919634</v>
      </c>
      <c r="AK55" s="3">
        <f t="shared" si="34"/>
        <v>0</v>
      </c>
      <c r="AL55" s="8"/>
      <c r="AM55" s="8"/>
      <c r="AN55" s="8"/>
      <c r="AO55" s="7"/>
    </row>
    <row r="56" spans="1:42" x14ac:dyDescent="0.25">
      <c r="A56" s="11">
        <f t="shared" si="39"/>
        <v>0.15</v>
      </c>
      <c r="B56" s="11">
        <f t="shared" si="39"/>
        <v>-0.42499999999999999</v>
      </c>
      <c r="C56" s="55"/>
      <c r="D56" s="55"/>
      <c r="E56" s="23"/>
      <c r="F56" s="23"/>
      <c r="G56" s="36"/>
      <c r="J56" s="36"/>
      <c r="O56" s="11">
        <f>O47*$B$51</f>
        <v>0.15</v>
      </c>
      <c r="P56" s="11">
        <f>P47*$B$51</f>
        <v>-0.48250000000000004</v>
      </c>
      <c r="Q56" s="55"/>
      <c r="R56" s="55"/>
      <c r="S56" s="23"/>
      <c r="T56" s="23"/>
      <c r="U56" s="23"/>
      <c r="V56" s="23"/>
      <c r="W56" s="23"/>
      <c r="X56" s="23"/>
      <c r="Y56" s="23"/>
      <c r="Z56" s="23"/>
      <c r="AA56" s="22"/>
      <c r="AB56" s="3"/>
      <c r="AC56" s="22">
        <v>15</v>
      </c>
      <c r="AD56" s="4">
        <f t="shared" si="17"/>
        <v>0.96</v>
      </c>
      <c r="AE56" s="4">
        <f t="shared" si="18"/>
        <v>-0.92</v>
      </c>
      <c r="AF56" s="4">
        <f t="shared" si="19"/>
        <v>-21.14</v>
      </c>
      <c r="AG56" s="4">
        <f t="shared" si="20"/>
        <v>82.024000000000001</v>
      </c>
      <c r="AH56" s="4">
        <f t="shared" si="31"/>
        <v>5.1962032393230393</v>
      </c>
      <c r="AI56" s="4">
        <f t="shared" si="32"/>
        <v>0.34641354928820262</v>
      </c>
      <c r="AJ56" s="4">
        <f t="shared" si="33"/>
        <v>20.784812957292157</v>
      </c>
      <c r="AK56" s="3">
        <f t="shared" si="34"/>
        <v>0</v>
      </c>
      <c r="AL56" s="8"/>
      <c r="AM56" s="8"/>
      <c r="AN56" s="8"/>
      <c r="AO56" s="7"/>
    </row>
    <row r="57" spans="1:42" ht="15.75" thickBot="1" x14ac:dyDescent="0.3">
      <c r="A57" s="8"/>
      <c r="B57" s="8"/>
      <c r="C57" s="55"/>
      <c r="D57" s="55"/>
      <c r="E57" s="23"/>
      <c r="F57" s="23"/>
      <c r="G57" s="36"/>
      <c r="J57" s="36"/>
      <c r="O57" s="11">
        <f t="shared" ref="O57:P57" si="40">O48*$B$51</f>
        <v>0.2</v>
      </c>
      <c r="P57" s="11">
        <f t="shared" si="40"/>
        <v>-0.30999999999999994</v>
      </c>
      <c r="Q57" s="55"/>
      <c r="R57" s="55"/>
      <c r="S57" s="23"/>
      <c r="T57" s="23"/>
      <c r="U57" s="23"/>
      <c r="V57" s="23"/>
      <c r="W57" s="23"/>
      <c r="X57" s="23"/>
      <c r="Y57" s="23"/>
      <c r="Z57" s="23"/>
      <c r="AA57" s="22"/>
      <c r="AB57" s="3"/>
      <c r="AC57" s="36"/>
      <c r="AD57" s="36"/>
      <c r="AE57" s="36"/>
      <c r="AF57" s="36"/>
      <c r="AG57" s="36"/>
      <c r="AH57" s="36"/>
      <c r="AI57" s="36"/>
      <c r="AJ57" s="36"/>
      <c r="AK57" s="36"/>
      <c r="AL57" s="36"/>
      <c r="AM57" s="36"/>
      <c r="AO57" s="36"/>
    </row>
    <row r="58" spans="1:42" ht="15.75" thickBot="1" x14ac:dyDescent="0.3">
      <c r="A58" s="8"/>
      <c r="B58" s="8"/>
      <c r="C58" s="55"/>
      <c r="D58" s="55"/>
      <c r="E58" s="23"/>
      <c r="F58" s="23"/>
      <c r="G58" s="36"/>
      <c r="J58" s="36"/>
      <c r="O58" s="11">
        <f t="shared" ref="O58:P58" si="41">O49*$B$51</f>
        <v>0.25</v>
      </c>
      <c r="P58" s="11">
        <f t="shared" si="41"/>
        <v>-0.13749999999999996</v>
      </c>
      <c r="Q58" s="55"/>
      <c r="R58" s="55"/>
      <c r="S58" s="23"/>
      <c r="T58" s="23"/>
      <c r="U58" s="23"/>
      <c r="V58" s="23"/>
      <c r="W58" s="23"/>
      <c r="X58" s="23"/>
      <c r="Y58" s="23"/>
      <c r="Z58" s="23"/>
      <c r="AA58" s="22"/>
      <c r="AB58" s="3"/>
      <c r="AC58" s="88" t="s">
        <v>248</v>
      </c>
      <c r="AD58" s="87">
        <v>0.5</v>
      </c>
      <c r="AE58" s="3"/>
      <c r="AF58" s="3"/>
      <c r="AG58" s="3"/>
      <c r="AH58" s="211" t="s">
        <v>232</v>
      </c>
      <c r="AI58" s="211"/>
      <c r="AJ58" s="211"/>
      <c r="AK58" s="211"/>
      <c r="AL58" s="211" t="s">
        <v>231</v>
      </c>
      <c r="AM58" s="211"/>
      <c r="AN58" s="211"/>
      <c r="AO58" s="211"/>
    </row>
    <row r="59" spans="1:42" ht="17.25" x14ac:dyDescent="0.25">
      <c r="A59" s="22"/>
      <c r="B59" s="22"/>
      <c r="C59" s="55"/>
      <c r="D59" s="55"/>
      <c r="E59" s="23"/>
      <c r="F59" s="23"/>
      <c r="O59" s="11">
        <f t="shared" ref="O59:P59" si="42">O50*$B$51</f>
        <v>0.3</v>
      </c>
      <c r="P59" s="11">
        <f t="shared" si="42"/>
        <v>3.499999999999992E-2</v>
      </c>
      <c r="Q59" s="55"/>
      <c r="R59" s="55"/>
      <c r="S59" s="23"/>
      <c r="T59" s="23"/>
      <c r="U59" s="23"/>
      <c r="V59" s="23"/>
      <c r="W59" s="23"/>
      <c r="X59" s="23"/>
      <c r="Y59" s="23"/>
      <c r="Z59" s="23"/>
      <c r="AA59" s="22"/>
      <c r="AB59" s="3"/>
      <c r="AC59" s="3" t="s">
        <v>143</v>
      </c>
      <c r="AD59" s="3" t="s">
        <v>230</v>
      </c>
      <c r="AE59" s="3" t="s">
        <v>229</v>
      </c>
      <c r="AF59" s="3" t="s">
        <v>228</v>
      </c>
      <c r="AG59" s="3" t="s">
        <v>227</v>
      </c>
      <c r="AH59" s="3" t="s">
        <v>8</v>
      </c>
      <c r="AI59" s="3" t="s">
        <v>96</v>
      </c>
      <c r="AJ59" s="3" t="s">
        <v>13</v>
      </c>
      <c r="AK59" s="3" t="s">
        <v>226</v>
      </c>
      <c r="AL59" s="3" t="s">
        <v>8</v>
      </c>
      <c r="AM59" s="3" t="s">
        <v>96</v>
      </c>
      <c r="AN59" s="115" t="s">
        <v>13</v>
      </c>
      <c r="AO59" s="3" t="s">
        <v>226</v>
      </c>
      <c r="AP59" s="115" t="s">
        <v>139</v>
      </c>
    </row>
    <row r="60" spans="1:42" x14ac:dyDescent="0.25">
      <c r="A60" s="56" t="s">
        <v>142</v>
      </c>
      <c r="B60" s="57">
        <v>4</v>
      </c>
      <c r="C60" s="23"/>
      <c r="D60" s="23"/>
      <c r="E60" s="23"/>
      <c r="F60" s="23"/>
      <c r="O60" s="56" t="s">
        <v>142</v>
      </c>
      <c r="P60" s="57">
        <v>4</v>
      </c>
      <c r="Q60" s="23"/>
      <c r="R60" s="23"/>
      <c r="S60" s="23"/>
      <c r="T60" s="23"/>
      <c r="U60" s="23"/>
      <c r="V60" s="23"/>
      <c r="W60" s="23"/>
      <c r="X60" s="23"/>
      <c r="Y60" s="23"/>
      <c r="Z60" s="23"/>
      <c r="AA60" s="22"/>
      <c r="AB60" s="3"/>
      <c r="AC60" s="22">
        <v>1.9</v>
      </c>
      <c r="AD60" s="4">
        <f>0.06/$AD$58/$AD$58</f>
        <v>0.24</v>
      </c>
      <c r="AE60" s="4">
        <f>-0.23/$AD$58</f>
        <v>-0.46</v>
      </c>
      <c r="AF60" s="4">
        <f>1.36-0.375*AC60/$AD$58</f>
        <v>-6.4999999999999725E-2</v>
      </c>
      <c r="AG60" s="4">
        <f>AE60*AE60-4*AD60*AF60</f>
        <v>0.27399999999999974</v>
      </c>
      <c r="AH60" s="4">
        <f t="shared" ref="AH60:AH61" si="43">(-AE60+SQRT(AG60))/2/AD60</f>
        <v>2.0488543606918661</v>
      </c>
      <c r="AI60" s="4">
        <f t="shared" ref="AI60:AI61" si="44">AH60/AC60</f>
        <v>1.07834440036414</v>
      </c>
      <c r="AJ60" s="4">
        <f>AH60/$AD$58</f>
        <v>4.0977087213837322</v>
      </c>
      <c r="AK60" s="3">
        <f>0.06/$AD$58/$AD$58*AH60*AH60-0.23/$AD$58*AH60+1.36-0.375*AC60/$AD$58</f>
        <v>0</v>
      </c>
      <c r="AL60" s="4">
        <f t="shared" ref="AL60:AL61" si="45">(-AE60-SQRT(AG60))/2/AD60</f>
        <v>-0.1321876940251995</v>
      </c>
      <c r="AM60" s="4">
        <f t="shared" ref="AM60:AM61" si="46">AL60/AC60</f>
        <v>-6.9572470539578685E-2</v>
      </c>
      <c r="AN60" s="4">
        <f>AL60/$AD$58</f>
        <v>-0.26437538805039901</v>
      </c>
      <c r="AO60" s="3">
        <f>0.06/$AD$58/$AD$58*AL60*AL60-0.23/$AD$58*AL60+1.36-0.375*AC60/$AD$58</f>
        <v>0</v>
      </c>
      <c r="AP60" s="4">
        <f>$AD$58/AC60</f>
        <v>0.26315789473684209</v>
      </c>
    </row>
    <row r="61" spans="1:42" x14ac:dyDescent="0.25">
      <c r="A61" s="22" t="s">
        <v>141</v>
      </c>
      <c r="B61" s="22" t="s">
        <v>8</v>
      </c>
      <c r="C61" s="22"/>
      <c r="D61" s="22"/>
      <c r="E61" s="23"/>
      <c r="F61" s="23"/>
      <c r="O61" s="22" t="s">
        <v>141</v>
      </c>
      <c r="P61" s="22" t="s">
        <v>8</v>
      </c>
      <c r="Q61" s="22"/>
      <c r="R61" s="22"/>
      <c r="S61" s="23"/>
      <c r="T61" s="23"/>
      <c r="U61" s="23"/>
      <c r="V61" s="23"/>
      <c r="W61" s="23"/>
      <c r="X61" s="23"/>
      <c r="Y61" s="23"/>
      <c r="Z61" s="23"/>
      <c r="AA61" s="22"/>
      <c r="AB61" s="3"/>
      <c r="AC61" s="22">
        <v>2</v>
      </c>
      <c r="AD61" s="4">
        <f t="shared" ref="AD61:AD74" si="47">0.06/$AD$58/$AD$58</f>
        <v>0.24</v>
      </c>
      <c r="AE61" s="4">
        <f t="shared" ref="AE61:AE74" si="48">-0.23/$AD$58</f>
        <v>-0.46</v>
      </c>
      <c r="AF61" s="4">
        <f t="shared" ref="AF61:AF74" si="49">1.36-0.375*AC61/$AD$58</f>
        <v>-0.1399999999999999</v>
      </c>
      <c r="AG61" s="4">
        <f t="shared" ref="AG61:AG74" si="50">AE61*AE61-4*AD61*AF61</f>
        <v>0.34599999999999992</v>
      </c>
      <c r="AH61" s="4">
        <f t="shared" si="43"/>
        <v>2.1837867641543949</v>
      </c>
      <c r="AI61" s="4">
        <f t="shared" si="44"/>
        <v>1.0918933820771974</v>
      </c>
      <c r="AJ61" s="4">
        <f t="shared" ref="AJ61:AJ74" si="51">AH61/$AD$58</f>
        <v>4.3675735283087898</v>
      </c>
      <c r="AK61" s="3">
        <f t="shared" ref="AK61:AK74" si="52">0.06/$AD$58/$AD$58*AH61*AH61-0.23/$AD$58*AH61+1.36-0.375*AC61/$AD$58</f>
        <v>0</v>
      </c>
      <c r="AL61" s="4">
        <f t="shared" si="45"/>
        <v>-0.2671200974877283</v>
      </c>
      <c r="AM61" s="4">
        <f t="shared" si="46"/>
        <v>-0.13356004874386415</v>
      </c>
      <c r="AN61" s="4">
        <f>AL61/$AD$58</f>
        <v>-0.53424019497545661</v>
      </c>
      <c r="AO61" s="3">
        <f>0.06/$AD$58/$AD$58*AL61*AL61-0.23/$AD$58*AL61+1.36-0.375*AC61/$AD$58</f>
        <v>0</v>
      </c>
      <c r="AP61" s="4">
        <f t="shared" ref="AP61:AP65" si="53">$AD$58/AC61</f>
        <v>0.25</v>
      </c>
    </row>
    <row r="62" spans="1:42" x14ac:dyDescent="0.25">
      <c r="A62" s="11">
        <f t="shared" ref="A62:B65" si="54">A44*$B$60</f>
        <v>0.2</v>
      </c>
      <c r="B62" s="11">
        <f t="shared" si="54"/>
        <v>-1.9</v>
      </c>
      <c r="C62" s="55"/>
      <c r="D62" s="55"/>
      <c r="E62" s="23"/>
      <c r="F62" s="23"/>
      <c r="O62" s="8"/>
      <c r="P62" s="8"/>
      <c r="Q62" s="55"/>
      <c r="R62" s="55"/>
      <c r="S62" s="23"/>
      <c r="T62" s="23"/>
      <c r="U62" s="23"/>
      <c r="V62" s="23"/>
      <c r="W62" s="23"/>
      <c r="X62" s="23"/>
      <c r="Y62" s="23"/>
      <c r="Z62" s="23"/>
      <c r="AA62" s="22"/>
      <c r="AB62" s="3"/>
      <c r="AC62" s="22">
        <v>3</v>
      </c>
      <c r="AD62" s="4">
        <f t="shared" si="47"/>
        <v>0.24</v>
      </c>
      <c r="AE62" s="4">
        <f t="shared" si="48"/>
        <v>-0.46</v>
      </c>
      <c r="AF62" s="4">
        <f t="shared" si="49"/>
        <v>-0.8899999999999999</v>
      </c>
      <c r="AG62" s="4">
        <f t="shared" si="50"/>
        <v>1.0659999999999998</v>
      </c>
      <c r="AH62" s="4">
        <f>(-AE62+SQRT(AG62))/2/AD62</f>
        <v>3.1093182498567176</v>
      </c>
      <c r="AI62" s="4">
        <f>AH62/AC62</f>
        <v>1.0364394166189059</v>
      </c>
      <c r="AJ62" s="4">
        <f t="shared" si="51"/>
        <v>6.2186364997134351</v>
      </c>
      <c r="AK62" s="3">
        <f t="shared" si="52"/>
        <v>0</v>
      </c>
      <c r="AL62" s="4">
        <f>(-AE62-SQRT(AG62))/2/AD62</f>
        <v>-1.192651583190051</v>
      </c>
      <c r="AM62" s="4">
        <f>AL62/AC62</f>
        <v>-0.39755052773001703</v>
      </c>
      <c r="AN62" s="4">
        <f>AL62/$AD$58</f>
        <v>-2.3853031663801021</v>
      </c>
      <c r="AO62" s="3">
        <f>0.06/$AD$58/$AD$58*AL62*AL62-0.23/$AD$58*AL62+1.36-0.375*AC62/$AD$58</f>
        <v>0</v>
      </c>
      <c r="AP62" s="4">
        <f t="shared" si="53"/>
        <v>0.16666666666666666</v>
      </c>
    </row>
    <row r="63" spans="1:42" x14ac:dyDescent="0.25">
      <c r="A63" s="11">
        <f t="shared" si="54"/>
        <v>0.28000000000000003</v>
      </c>
      <c r="B63" s="11">
        <f t="shared" si="54"/>
        <v>-1.8599999999999999</v>
      </c>
      <c r="C63" s="55"/>
      <c r="D63" s="55"/>
      <c r="E63" s="23"/>
      <c r="F63" s="23"/>
      <c r="O63" s="8"/>
      <c r="P63" s="8"/>
      <c r="Q63" s="55"/>
      <c r="R63" s="55"/>
      <c r="S63" s="23"/>
      <c r="T63" s="23"/>
      <c r="U63" s="23"/>
      <c r="V63" s="23"/>
      <c r="W63" s="23"/>
      <c r="X63" s="23"/>
      <c r="Y63" s="23"/>
      <c r="Z63" s="23"/>
      <c r="AA63" s="22"/>
      <c r="AB63" s="3"/>
      <c r="AC63" s="22">
        <v>4</v>
      </c>
      <c r="AD63" s="4">
        <f t="shared" si="47"/>
        <v>0.24</v>
      </c>
      <c r="AE63" s="4">
        <f t="shared" si="48"/>
        <v>-0.46</v>
      </c>
      <c r="AF63" s="4">
        <f t="shared" si="49"/>
        <v>-1.64</v>
      </c>
      <c r="AG63" s="4">
        <f t="shared" si="50"/>
        <v>1.7859999999999998</v>
      </c>
      <c r="AH63" s="4">
        <f t="shared" ref="AH63:AH74" si="55">(-AE63+SQRT(AG63))/2/AD63</f>
        <v>3.7425273120480189</v>
      </c>
      <c r="AI63" s="4">
        <f t="shared" ref="AI63:AI74" si="56">AH63/AC63</f>
        <v>0.93563182801200473</v>
      </c>
      <c r="AJ63" s="4">
        <f t="shared" si="51"/>
        <v>7.4850546240960378</v>
      </c>
      <c r="AK63" s="3">
        <f t="shared" si="52"/>
        <v>0</v>
      </c>
      <c r="AL63" s="8">
        <f t="shared" ref="AL63" si="57">(-AE63-SQRT(AG63))/2/AD63</f>
        <v>-1.8258606453813522</v>
      </c>
      <c r="AM63" s="8">
        <f t="shared" ref="AM63" si="58">AL63/AC63</f>
        <v>-0.45646516134533804</v>
      </c>
      <c r="AN63" s="8">
        <f>AL63/$AD$58</f>
        <v>-3.6517212907627044</v>
      </c>
      <c r="AO63" s="7">
        <f>0.06/$AD$58/$AD$58*AL63*AL63-0.23/$AD$58*AL63+1.36-0.375*AC63/$AD$58</f>
        <v>0</v>
      </c>
      <c r="AP63" s="4">
        <f t="shared" si="53"/>
        <v>0.125</v>
      </c>
    </row>
    <row r="64" spans="1:42" x14ac:dyDescent="0.25">
      <c r="A64" s="11">
        <f t="shared" si="54"/>
        <v>0.4</v>
      </c>
      <c r="B64" s="11">
        <f t="shared" si="54"/>
        <v>-1.8</v>
      </c>
      <c r="C64" s="55"/>
      <c r="D64" s="55"/>
      <c r="E64" s="23"/>
      <c r="F64" s="23"/>
      <c r="O64" s="8"/>
      <c r="P64" s="8"/>
      <c r="Q64" s="55"/>
      <c r="R64" s="55"/>
      <c r="S64" s="23"/>
      <c r="T64" s="23"/>
      <c r="U64" s="23"/>
      <c r="V64" s="23"/>
      <c r="W64" s="23"/>
      <c r="X64" s="23"/>
      <c r="Y64" s="23"/>
      <c r="Z64" s="23"/>
      <c r="AA64" s="22"/>
      <c r="AB64" s="3"/>
      <c r="AC64" s="22">
        <v>5</v>
      </c>
      <c r="AD64" s="4">
        <f t="shared" si="47"/>
        <v>0.24</v>
      </c>
      <c r="AE64" s="4">
        <f t="shared" si="48"/>
        <v>-0.46</v>
      </c>
      <c r="AF64" s="4">
        <f t="shared" si="49"/>
        <v>-2.3899999999999997</v>
      </c>
      <c r="AG64" s="4">
        <f t="shared" si="50"/>
        <v>2.5059999999999993</v>
      </c>
      <c r="AH64" s="4">
        <f t="shared" si="55"/>
        <v>4.2563230408841477</v>
      </c>
      <c r="AI64" s="4">
        <f t="shared" si="56"/>
        <v>0.85126460817682958</v>
      </c>
      <c r="AJ64" s="4">
        <f t="shared" si="51"/>
        <v>8.5126460817682954</v>
      </c>
      <c r="AK64" s="3">
        <f t="shared" si="52"/>
        <v>0</v>
      </c>
      <c r="AL64" s="8">
        <f t="shared" ref="AL64" si="59">(-AE64-SQRT(AG64))/2/AD64</f>
        <v>-2.3396563742174812</v>
      </c>
      <c r="AM64" s="8">
        <f t="shared" ref="AM64" si="60">AL64/AC64</f>
        <v>-0.46793127484349623</v>
      </c>
      <c r="AN64" s="8">
        <f t="shared" ref="AN64" si="61">AL64/$AD$58</f>
        <v>-4.6793127484349624</v>
      </c>
      <c r="AO64" s="7">
        <f t="shared" ref="AO64" si="62">0.06/$AD$58/$AD$58*AL64*AL64-0.23/$AD$58*AL64+1.36-0.375*AC64/$AD$58</f>
        <v>0</v>
      </c>
      <c r="AP64" s="4">
        <f t="shared" si="53"/>
        <v>0.1</v>
      </c>
    </row>
    <row r="65" spans="1:42" x14ac:dyDescent="0.25">
      <c r="A65" s="11">
        <f t="shared" si="54"/>
        <v>0.6</v>
      </c>
      <c r="B65" s="11">
        <f t="shared" si="54"/>
        <v>-1.7</v>
      </c>
      <c r="C65" s="55"/>
      <c r="D65" s="55"/>
      <c r="E65" s="23"/>
      <c r="F65" s="23"/>
      <c r="O65" s="11">
        <f>O47*$B$60</f>
        <v>0.6</v>
      </c>
      <c r="P65" s="11">
        <f>P47*$B$60</f>
        <v>-1.9300000000000002</v>
      </c>
      <c r="Q65" s="55"/>
      <c r="R65" s="55"/>
      <c r="S65" s="23"/>
      <c r="T65" s="23"/>
      <c r="U65" s="23"/>
      <c r="V65" s="23"/>
      <c r="W65" s="23"/>
      <c r="X65" s="23"/>
      <c r="Y65" s="23"/>
      <c r="Z65" s="23"/>
      <c r="AA65" s="22"/>
      <c r="AB65" s="3"/>
      <c r="AC65" s="22">
        <v>6</v>
      </c>
      <c r="AD65" s="4">
        <f t="shared" si="47"/>
        <v>0.24</v>
      </c>
      <c r="AE65" s="4">
        <f t="shared" si="48"/>
        <v>-0.46</v>
      </c>
      <c r="AF65" s="4">
        <f t="shared" si="49"/>
        <v>-3.1399999999999997</v>
      </c>
      <c r="AG65" s="4">
        <f t="shared" si="50"/>
        <v>3.226</v>
      </c>
      <c r="AH65" s="4">
        <f t="shared" si="55"/>
        <v>4.700222710521162</v>
      </c>
      <c r="AI65" s="4">
        <f t="shared" si="56"/>
        <v>0.78337045175352704</v>
      </c>
      <c r="AJ65" s="4">
        <f t="shared" si="51"/>
        <v>9.4004454210423241</v>
      </c>
      <c r="AK65" s="3">
        <f t="shared" si="52"/>
        <v>0</v>
      </c>
      <c r="AL65" s="8">
        <f t="shared" ref="AL65" si="63">(-AE65-SQRT(AG65))/2/AD65</f>
        <v>-2.7835560438544946</v>
      </c>
      <c r="AM65" s="8">
        <f t="shared" ref="AM65" si="64">AL65/AC65</f>
        <v>-0.46392600730908246</v>
      </c>
      <c r="AN65" s="8">
        <f t="shared" ref="AN65" si="65">AL65/$AD$58</f>
        <v>-5.5671120877089892</v>
      </c>
      <c r="AO65" s="7">
        <f t="shared" ref="AO65" si="66">0.06/$AD$58/$AD$58*AL65*AL65-0.23/$AD$58*AL65+1.36-0.375*AC65/$AD$58</f>
        <v>0</v>
      </c>
      <c r="AP65" s="4">
        <f t="shared" si="53"/>
        <v>8.3333333333333329E-2</v>
      </c>
    </row>
    <row r="66" spans="1:42" x14ac:dyDescent="0.25">
      <c r="A66" s="8"/>
      <c r="B66" s="8"/>
      <c r="C66" s="55"/>
      <c r="D66" s="55"/>
      <c r="E66" s="23"/>
      <c r="F66" s="23"/>
      <c r="O66" s="11">
        <f t="shared" ref="O66:P66" si="67">O48*$B$60</f>
        <v>0.8</v>
      </c>
      <c r="P66" s="11">
        <f t="shared" si="67"/>
        <v>-1.2399999999999998</v>
      </c>
      <c r="Q66" s="55"/>
      <c r="R66" s="55"/>
      <c r="S66" s="23"/>
      <c r="T66" s="23"/>
      <c r="U66" s="23"/>
      <c r="V66" s="23"/>
      <c r="W66" s="23"/>
      <c r="X66" s="23"/>
      <c r="Y66" s="23"/>
      <c r="Z66" s="23"/>
      <c r="AA66" s="22"/>
      <c r="AB66" s="3"/>
      <c r="AC66" s="22">
        <v>7</v>
      </c>
      <c r="AD66" s="4">
        <f t="shared" si="47"/>
        <v>0.24</v>
      </c>
      <c r="AE66" s="4">
        <f t="shared" si="48"/>
        <v>-0.46</v>
      </c>
      <c r="AF66" s="4">
        <f t="shared" si="49"/>
        <v>-3.8899999999999997</v>
      </c>
      <c r="AG66" s="4">
        <f t="shared" si="50"/>
        <v>3.9459999999999997</v>
      </c>
      <c r="AH66" s="4">
        <f t="shared" si="55"/>
        <v>5.0967794319446362</v>
      </c>
      <c r="AI66" s="4">
        <f t="shared" si="56"/>
        <v>0.7281113474206623</v>
      </c>
      <c r="AJ66" s="4">
        <f t="shared" si="51"/>
        <v>10.193558863889272</v>
      </c>
      <c r="AK66" s="3">
        <f t="shared" si="52"/>
        <v>0</v>
      </c>
      <c r="AL66" s="8"/>
      <c r="AM66" s="8"/>
      <c r="AN66" s="8"/>
      <c r="AO66" s="7"/>
    </row>
    <row r="67" spans="1:42" x14ac:dyDescent="0.25">
      <c r="A67" s="8"/>
      <c r="B67" s="8"/>
      <c r="C67" s="55"/>
      <c r="D67" s="55"/>
      <c r="E67" s="23"/>
      <c r="F67" s="23"/>
      <c r="O67" s="11">
        <f t="shared" ref="O67:P67" si="68">O49*$B$60</f>
        <v>1</v>
      </c>
      <c r="P67" s="11">
        <f t="shared" si="68"/>
        <v>-0.54999999999999982</v>
      </c>
      <c r="Q67" s="55"/>
      <c r="R67" s="55"/>
      <c r="S67" s="23"/>
      <c r="T67" s="23"/>
      <c r="U67" s="23"/>
      <c r="V67" s="23"/>
      <c r="W67" s="23"/>
      <c r="X67" s="23"/>
      <c r="Y67" s="23"/>
      <c r="Z67" s="23"/>
      <c r="AA67" s="22"/>
      <c r="AB67" s="3"/>
      <c r="AC67" s="22">
        <v>8</v>
      </c>
      <c r="AD67" s="4">
        <f t="shared" si="47"/>
        <v>0.24</v>
      </c>
      <c r="AE67" s="4">
        <f t="shared" si="48"/>
        <v>-0.46</v>
      </c>
      <c r="AF67" s="4">
        <f t="shared" si="49"/>
        <v>-4.6399999999999997</v>
      </c>
      <c r="AG67" s="4">
        <f t="shared" si="50"/>
        <v>4.6659999999999995</v>
      </c>
      <c r="AH67" s="4">
        <f t="shared" si="55"/>
        <v>5.4585262304335354</v>
      </c>
      <c r="AI67" s="4">
        <f t="shared" si="56"/>
        <v>0.68231577880419192</v>
      </c>
      <c r="AJ67" s="4">
        <f t="shared" si="51"/>
        <v>10.917052460867071</v>
      </c>
      <c r="AK67" s="3">
        <f t="shared" si="52"/>
        <v>0</v>
      </c>
      <c r="AL67" s="8"/>
      <c r="AM67" s="8"/>
      <c r="AN67" s="8"/>
      <c r="AO67" s="7"/>
    </row>
    <row r="68" spans="1:42" x14ac:dyDescent="0.25">
      <c r="A68" s="23"/>
      <c r="B68" s="23"/>
      <c r="C68" s="23"/>
      <c r="D68" s="23"/>
      <c r="E68" s="23"/>
      <c r="F68" s="23"/>
      <c r="O68" s="11">
        <f t="shared" ref="O68:P68" si="69">O50*$B$60</f>
        <v>1.2</v>
      </c>
      <c r="P68" s="11">
        <f t="shared" si="69"/>
        <v>0.13999999999999968</v>
      </c>
      <c r="Q68" s="23"/>
      <c r="R68" s="23"/>
      <c r="S68" s="23"/>
      <c r="T68" s="23"/>
      <c r="U68" s="23"/>
      <c r="V68" s="23"/>
      <c r="W68" s="23"/>
      <c r="X68" s="23"/>
      <c r="Y68" s="23"/>
      <c r="Z68" s="23"/>
      <c r="AA68" s="22"/>
      <c r="AB68" s="3"/>
      <c r="AC68" s="22">
        <v>9</v>
      </c>
      <c r="AD68" s="4">
        <f t="shared" si="47"/>
        <v>0.24</v>
      </c>
      <c r="AE68" s="4">
        <f t="shared" si="48"/>
        <v>-0.46</v>
      </c>
      <c r="AF68" s="4">
        <f t="shared" si="49"/>
        <v>-5.39</v>
      </c>
      <c r="AG68" s="4">
        <f t="shared" si="50"/>
        <v>5.3859999999999992</v>
      </c>
      <c r="AH68" s="4">
        <f t="shared" si="55"/>
        <v>5.7932827757899039</v>
      </c>
      <c r="AI68" s="4">
        <f t="shared" si="56"/>
        <v>0.64369808619887825</v>
      </c>
      <c r="AJ68" s="4">
        <f t="shared" si="51"/>
        <v>11.586565551579808</v>
      </c>
      <c r="AK68" s="3">
        <f t="shared" si="52"/>
        <v>0</v>
      </c>
      <c r="AL68" s="8"/>
      <c r="AM68" s="8"/>
      <c r="AN68" s="8"/>
      <c r="AO68" s="7"/>
    </row>
    <row r="69" spans="1:42" x14ac:dyDescent="0.25">
      <c r="A69" s="56" t="s">
        <v>142</v>
      </c>
      <c r="B69" s="57">
        <v>7</v>
      </c>
      <c r="C69" s="23"/>
      <c r="D69" s="23"/>
      <c r="E69" s="23"/>
      <c r="F69" s="23"/>
      <c r="O69" s="56" t="s">
        <v>142</v>
      </c>
      <c r="P69" s="57">
        <v>7</v>
      </c>
      <c r="Q69" s="23"/>
      <c r="R69" s="23"/>
      <c r="S69" s="23"/>
      <c r="T69" s="23"/>
      <c r="U69" s="23"/>
      <c r="V69" s="23"/>
      <c r="W69" s="23"/>
      <c r="X69" s="23"/>
      <c r="Y69" s="23"/>
      <c r="Z69" s="23"/>
      <c r="AA69" s="22"/>
      <c r="AB69" s="3"/>
      <c r="AC69" s="22">
        <v>10</v>
      </c>
      <c r="AD69" s="4">
        <f t="shared" si="47"/>
        <v>0.24</v>
      </c>
      <c r="AE69" s="4">
        <f t="shared" si="48"/>
        <v>-0.46</v>
      </c>
      <c r="AF69" s="4">
        <f t="shared" si="49"/>
        <v>-6.14</v>
      </c>
      <c r="AG69" s="4">
        <f t="shared" si="50"/>
        <v>6.105999999999999</v>
      </c>
      <c r="AH69" s="4">
        <f t="shared" si="55"/>
        <v>6.1063170270828682</v>
      </c>
      <c r="AI69" s="4">
        <f t="shared" si="56"/>
        <v>0.61063170270828682</v>
      </c>
      <c r="AJ69" s="4">
        <f t="shared" si="51"/>
        <v>12.212634054165736</v>
      </c>
      <c r="AK69" s="3">
        <f t="shared" si="52"/>
        <v>0</v>
      </c>
      <c r="AL69" s="8"/>
      <c r="AM69" s="8"/>
      <c r="AN69" s="8"/>
      <c r="AO69" s="7"/>
    </row>
    <row r="70" spans="1:42" x14ac:dyDescent="0.25">
      <c r="A70" s="22" t="s">
        <v>141</v>
      </c>
      <c r="B70" s="22" t="s">
        <v>8</v>
      </c>
      <c r="C70" s="22"/>
      <c r="D70" s="22"/>
      <c r="E70" s="23"/>
      <c r="F70" s="23"/>
      <c r="O70" s="22" t="s">
        <v>141</v>
      </c>
      <c r="P70" s="22" t="s">
        <v>8</v>
      </c>
      <c r="Q70" s="22"/>
      <c r="R70" s="22"/>
      <c r="S70" s="23"/>
      <c r="T70" s="23"/>
      <c r="U70" s="23"/>
      <c r="V70" s="23"/>
      <c r="W70" s="23"/>
      <c r="X70" s="23"/>
      <c r="Y70" s="23"/>
      <c r="Z70" s="23"/>
      <c r="AA70" s="22"/>
      <c r="AB70" s="3"/>
      <c r="AC70" s="22">
        <v>11</v>
      </c>
      <c r="AD70" s="4">
        <f t="shared" si="47"/>
        <v>0.24</v>
      </c>
      <c r="AE70" s="4">
        <f t="shared" si="48"/>
        <v>-0.46</v>
      </c>
      <c r="AF70" s="4">
        <f t="shared" si="49"/>
        <v>-6.89</v>
      </c>
      <c r="AG70" s="4">
        <f t="shared" si="50"/>
        <v>6.8259999999999996</v>
      </c>
      <c r="AH70" s="4">
        <f t="shared" si="55"/>
        <v>6.4013780797148216</v>
      </c>
      <c r="AI70" s="4">
        <f t="shared" si="56"/>
        <v>0.58194346179225653</v>
      </c>
      <c r="AJ70" s="4">
        <f t="shared" si="51"/>
        <v>12.802756159429643</v>
      </c>
      <c r="AK70" s="3">
        <f t="shared" si="52"/>
        <v>0</v>
      </c>
      <c r="AL70" s="8"/>
      <c r="AM70" s="8"/>
      <c r="AN70" s="8"/>
      <c r="AO70" s="7"/>
    </row>
    <row r="71" spans="1:42" x14ac:dyDescent="0.25">
      <c r="A71" s="11">
        <f t="shared" ref="A71:B74" si="70">A44*$B$69</f>
        <v>0.35000000000000003</v>
      </c>
      <c r="B71" s="11">
        <f t="shared" si="70"/>
        <v>-3.3249999999999997</v>
      </c>
      <c r="C71" s="55"/>
      <c r="D71" s="55"/>
      <c r="E71" s="23"/>
      <c r="F71" s="23"/>
      <c r="O71" s="8"/>
      <c r="P71" s="8"/>
      <c r="Q71" s="55"/>
      <c r="R71" s="55"/>
      <c r="S71" s="23"/>
      <c r="T71" s="23"/>
      <c r="U71" s="23"/>
      <c r="V71" s="23"/>
      <c r="W71" s="23"/>
      <c r="X71" s="23"/>
      <c r="Y71" s="23"/>
      <c r="Z71" s="23"/>
      <c r="AA71" s="22"/>
      <c r="AB71" s="3"/>
      <c r="AC71" s="22">
        <v>12</v>
      </c>
      <c r="AD71" s="4">
        <f t="shared" si="47"/>
        <v>0.24</v>
      </c>
      <c r="AE71" s="4">
        <f t="shared" si="48"/>
        <v>-0.46</v>
      </c>
      <c r="AF71" s="4">
        <f t="shared" si="49"/>
        <v>-7.64</v>
      </c>
      <c r="AG71" s="4">
        <f t="shared" si="50"/>
        <v>7.5459999999999994</v>
      </c>
      <c r="AH71" s="4">
        <f t="shared" si="55"/>
        <v>6.6812465871850035</v>
      </c>
      <c r="AI71" s="4">
        <f t="shared" si="56"/>
        <v>0.55677054893208366</v>
      </c>
      <c r="AJ71" s="4">
        <f t="shared" si="51"/>
        <v>13.362493174370007</v>
      </c>
      <c r="AK71" s="3">
        <f t="shared" si="52"/>
        <v>0</v>
      </c>
      <c r="AL71" s="8"/>
      <c r="AM71" s="8"/>
      <c r="AN71" s="8"/>
      <c r="AO71" s="7"/>
    </row>
    <row r="72" spans="1:42" x14ac:dyDescent="0.25">
      <c r="A72" s="11">
        <f t="shared" si="70"/>
        <v>0.49000000000000005</v>
      </c>
      <c r="B72" s="11">
        <f t="shared" si="70"/>
        <v>-3.2549999999999999</v>
      </c>
      <c r="C72" s="55"/>
      <c r="D72" s="55"/>
      <c r="E72" s="23"/>
      <c r="F72" s="23"/>
      <c r="O72" s="8"/>
      <c r="P72" s="8"/>
      <c r="Q72" s="55"/>
      <c r="R72" s="55"/>
      <c r="S72" s="23"/>
      <c r="T72" s="23"/>
      <c r="U72" s="23"/>
      <c r="V72" s="23"/>
      <c r="W72" s="23"/>
      <c r="X72" s="23"/>
      <c r="Y72" s="23"/>
      <c r="Z72" s="23"/>
      <c r="AA72" s="22"/>
      <c r="AB72" s="3"/>
      <c r="AC72" s="22">
        <v>13</v>
      </c>
      <c r="AD72" s="4">
        <f t="shared" si="47"/>
        <v>0.24</v>
      </c>
      <c r="AE72" s="4">
        <f t="shared" si="48"/>
        <v>-0.46</v>
      </c>
      <c r="AF72" s="4">
        <f t="shared" si="49"/>
        <v>-8.39</v>
      </c>
      <c r="AG72" s="4">
        <f t="shared" si="50"/>
        <v>8.2660000000000018</v>
      </c>
      <c r="AH72" s="4">
        <f t="shared" si="55"/>
        <v>6.9480525346908655</v>
      </c>
      <c r="AI72" s="4">
        <f t="shared" si="56"/>
        <v>0.53446557959160501</v>
      </c>
      <c r="AJ72" s="4">
        <f t="shared" si="51"/>
        <v>13.896105069381731</v>
      </c>
      <c r="AK72" s="3">
        <f t="shared" si="52"/>
        <v>0</v>
      </c>
      <c r="AL72" s="8"/>
      <c r="AM72" s="8"/>
      <c r="AN72" s="8"/>
      <c r="AO72" s="7"/>
    </row>
    <row r="73" spans="1:42" x14ac:dyDescent="0.25">
      <c r="A73" s="11">
        <f t="shared" si="70"/>
        <v>0.70000000000000007</v>
      </c>
      <c r="B73" s="11">
        <f t="shared" si="70"/>
        <v>-3.15</v>
      </c>
      <c r="C73" s="55"/>
      <c r="D73" s="55"/>
      <c r="E73" s="23"/>
      <c r="F73" s="23"/>
      <c r="O73" s="8"/>
      <c r="P73" s="8"/>
      <c r="Q73" s="55"/>
      <c r="R73" s="55"/>
      <c r="S73" s="23"/>
      <c r="T73" s="23"/>
      <c r="U73" s="23"/>
      <c r="V73" s="23"/>
      <c r="W73" s="23"/>
      <c r="X73" s="23"/>
      <c r="Y73" s="23"/>
      <c r="Z73" s="23"/>
      <c r="AA73" s="22"/>
      <c r="AB73" s="3"/>
      <c r="AC73" s="22">
        <v>14</v>
      </c>
      <c r="AD73" s="4">
        <f t="shared" si="47"/>
        <v>0.24</v>
      </c>
      <c r="AE73" s="4">
        <f t="shared" si="48"/>
        <v>-0.46</v>
      </c>
      <c r="AF73" s="4">
        <f t="shared" si="49"/>
        <v>-9.14</v>
      </c>
      <c r="AG73" s="4">
        <f t="shared" si="50"/>
        <v>8.9860000000000007</v>
      </c>
      <c r="AH73" s="4">
        <f t="shared" si="55"/>
        <v>7.2034703303183569</v>
      </c>
      <c r="AI73" s="4">
        <f t="shared" si="56"/>
        <v>0.51453359502273976</v>
      </c>
      <c r="AJ73" s="4">
        <f t="shared" si="51"/>
        <v>14.406940660636714</v>
      </c>
      <c r="AK73" s="3">
        <f t="shared" si="52"/>
        <v>0</v>
      </c>
      <c r="AL73" s="8"/>
      <c r="AM73" s="8"/>
      <c r="AN73" s="8"/>
      <c r="AO73" s="7"/>
    </row>
    <row r="74" spans="1:42" x14ac:dyDescent="0.25">
      <c r="A74" s="11">
        <f t="shared" si="70"/>
        <v>1.05</v>
      </c>
      <c r="B74" s="11">
        <f t="shared" si="70"/>
        <v>-2.9750000000000001</v>
      </c>
      <c r="C74" s="55"/>
      <c r="D74" s="55"/>
      <c r="E74" s="23"/>
      <c r="F74" s="23"/>
      <c r="O74" s="11">
        <f>O47*$B$69</f>
        <v>1.05</v>
      </c>
      <c r="P74" s="11">
        <f>P47*$B$69</f>
        <v>-3.3775000000000004</v>
      </c>
      <c r="Q74" s="55"/>
      <c r="R74" s="55"/>
      <c r="S74" s="23"/>
      <c r="T74" s="23"/>
      <c r="U74" s="23"/>
      <c r="V74" s="23"/>
      <c r="W74" s="23"/>
      <c r="X74" s="23"/>
      <c r="Y74" s="23"/>
      <c r="Z74" s="23"/>
      <c r="AA74" s="22"/>
      <c r="AB74" s="3"/>
      <c r="AC74" s="22">
        <v>15</v>
      </c>
      <c r="AD74" s="4">
        <f t="shared" si="47"/>
        <v>0.24</v>
      </c>
      <c r="AE74" s="4">
        <f t="shared" si="48"/>
        <v>-0.46</v>
      </c>
      <c r="AF74" s="4">
        <f t="shared" si="49"/>
        <v>-9.89</v>
      </c>
      <c r="AG74" s="4">
        <f t="shared" si="50"/>
        <v>9.7060000000000013</v>
      </c>
      <c r="AH74" s="4">
        <f t="shared" si="55"/>
        <v>7.4488445698316665</v>
      </c>
      <c r="AI74" s="4">
        <f t="shared" si="56"/>
        <v>0.49658963798877775</v>
      </c>
      <c r="AJ74" s="4">
        <f t="shared" si="51"/>
        <v>14.897689139663333</v>
      </c>
      <c r="AK74" s="3">
        <f t="shared" si="52"/>
        <v>0</v>
      </c>
      <c r="AL74" s="8"/>
      <c r="AM74" s="8"/>
      <c r="AN74" s="8"/>
      <c r="AO74" s="7"/>
    </row>
    <row r="75" spans="1:42" ht="15.75" thickBot="1" x14ac:dyDescent="0.3">
      <c r="A75" s="8"/>
      <c r="B75" s="8"/>
      <c r="C75" s="55"/>
      <c r="D75" s="55"/>
      <c r="E75" s="23"/>
      <c r="F75" s="23"/>
      <c r="O75" s="11">
        <f t="shared" ref="O75:P75" si="71">O48*$B$69</f>
        <v>1.4000000000000001</v>
      </c>
      <c r="P75" s="11">
        <f t="shared" si="71"/>
        <v>-2.1699999999999995</v>
      </c>
      <c r="Q75" s="55"/>
      <c r="R75" s="55"/>
      <c r="S75" s="23"/>
      <c r="T75" s="23"/>
      <c r="U75" s="23"/>
      <c r="V75" s="23"/>
      <c r="W75" s="23"/>
      <c r="X75" s="23"/>
      <c r="Y75" s="23"/>
      <c r="Z75" s="23"/>
      <c r="AA75" s="22"/>
      <c r="AB75" s="3"/>
      <c r="AC75" s="36"/>
      <c r="AD75" s="36"/>
      <c r="AE75" s="36"/>
      <c r="AF75" s="36"/>
      <c r="AG75" s="36"/>
      <c r="AH75" s="36"/>
      <c r="AI75" s="36"/>
      <c r="AJ75" s="36"/>
      <c r="AK75" s="36"/>
      <c r="AL75" s="36"/>
      <c r="AM75" s="36"/>
      <c r="AO75" s="36"/>
    </row>
    <row r="76" spans="1:42" ht="15.75" thickBot="1" x14ac:dyDescent="0.3">
      <c r="A76" s="8"/>
      <c r="B76" s="8"/>
      <c r="C76" s="55"/>
      <c r="D76" s="55"/>
      <c r="E76" s="23"/>
      <c r="F76" s="23"/>
      <c r="O76" s="11">
        <f t="shared" ref="O76:P76" si="72">O49*$B$69</f>
        <v>1.75</v>
      </c>
      <c r="P76" s="11">
        <f t="shared" si="72"/>
        <v>-0.96249999999999969</v>
      </c>
      <c r="Q76" s="55"/>
      <c r="R76" s="55"/>
      <c r="S76" s="23"/>
      <c r="T76" s="23"/>
      <c r="U76" s="23"/>
      <c r="V76" s="23"/>
      <c r="W76" s="23"/>
      <c r="X76" s="23"/>
      <c r="Y76" s="23"/>
      <c r="Z76" s="23"/>
      <c r="AA76" s="22"/>
      <c r="AB76" s="3"/>
      <c r="AC76" s="88" t="s">
        <v>248</v>
      </c>
      <c r="AD76" s="87">
        <v>1</v>
      </c>
      <c r="AE76" s="3"/>
      <c r="AF76" s="3"/>
      <c r="AG76" s="3"/>
      <c r="AH76" s="211" t="s">
        <v>232</v>
      </c>
      <c r="AI76" s="211"/>
      <c r="AJ76" s="211"/>
      <c r="AK76" s="211"/>
      <c r="AL76" s="211" t="s">
        <v>231</v>
      </c>
      <c r="AM76" s="211"/>
      <c r="AN76" s="211"/>
      <c r="AO76" s="211"/>
    </row>
    <row r="77" spans="1:42" ht="17.25" x14ac:dyDescent="0.25">
      <c r="A77" s="23"/>
      <c r="B77" s="23"/>
      <c r="C77" s="23"/>
      <c r="D77" s="23"/>
      <c r="E77" s="23"/>
      <c r="F77" s="23"/>
      <c r="O77" s="11">
        <f t="shared" ref="O77:P77" si="73">O50*$B$69</f>
        <v>2.1</v>
      </c>
      <c r="P77" s="11">
        <f t="shared" si="73"/>
        <v>0.24499999999999944</v>
      </c>
      <c r="Q77" s="23"/>
      <c r="R77" s="23"/>
      <c r="S77" s="23"/>
      <c r="T77" s="23"/>
      <c r="U77" s="23"/>
      <c r="V77" s="23"/>
      <c r="W77" s="23"/>
      <c r="X77" s="23"/>
      <c r="Y77" s="23"/>
      <c r="Z77" s="23"/>
      <c r="AA77" s="22"/>
      <c r="AB77" s="3"/>
      <c r="AC77" s="3" t="s">
        <v>143</v>
      </c>
      <c r="AD77" s="3" t="s">
        <v>230</v>
      </c>
      <c r="AE77" s="3" t="s">
        <v>229</v>
      </c>
      <c r="AF77" s="3" t="s">
        <v>228</v>
      </c>
      <c r="AG77" s="3" t="s">
        <v>227</v>
      </c>
      <c r="AH77" s="3" t="s">
        <v>8</v>
      </c>
      <c r="AI77" s="3" t="s">
        <v>96</v>
      </c>
      <c r="AJ77" s="3" t="s">
        <v>13</v>
      </c>
      <c r="AK77" s="3" t="s">
        <v>226</v>
      </c>
      <c r="AL77" s="3" t="s">
        <v>8</v>
      </c>
      <c r="AM77" s="3" t="s">
        <v>96</v>
      </c>
      <c r="AN77" s="115" t="s">
        <v>13</v>
      </c>
      <c r="AO77" s="3" t="s">
        <v>226</v>
      </c>
      <c r="AP77" s="115" t="s">
        <v>139</v>
      </c>
    </row>
    <row r="78" spans="1:42" x14ac:dyDescent="0.25">
      <c r="A78" s="56" t="s">
        <v>142</v>
      </c>
      <c r="B78" s="57">
        <v>10</v>
      </c>
      <c r="C78" s="22"/>
      <c r="D78" s="22"/>
      <c r="E78" s="23"/>
      <c r="F78" s="23"/>
      <c r="O78" s="56" t="s">
        <v>142</v>
      </c>
      <c r="P78" s="57">
        <v>10</v>
      </c>
      <c r="Q78" s="22"/>
      <c r="R78" s="22"/>
      <c r="S78" s="23"/>
      <c r="T78" s="23"/>
      <c r="U78" s="23"/>
      <c r="V78" s="23"/>
      <c r="W78" s="23"/>
      <c r="X78" s="23"/>
      <c r="Y78" s="23"/>
      <c r="Z78" s="23"/>
      <c r="AA78" s="22"/>
      <c r="AB78" s="3"/>
      <c r="AC78" s="22">
        <v>1</v>
      </c>
      <c r="AD78" s="4">
        <f>0.06/$AD$76/$AD$76</f>
        <v>0.06</v>
      </c>
      <c r="AE78" s="4">
        <f>-0.23/$AD$76</f>
        <v>-0.23</v>
      </c>
      <c r="AF78" s="4">
        <f>1.36-0.375*AC78/$AD$76</f>
        <v>0.9850000000000001</v>
      </c>
      <c r="AG78" s="4">
        <f>AE78*AE78-4*AD78*AF78</f>
        <v>-0.18350000000000002</v>
      </c>
      <c r="AH78" s="4" t="e">
        <f t="shared" ref="AH78:AH79" si="74">(-AE78+SQRT(AG78))/2/AD78</f>
        <v>#NUM!</v>
      </c>
      <c r="AI78" s="4" t="e">
        <f t="shared" ref="AI78:AI79" si="75">AH78/AC78</f>
        <v>#NUM!</v>
      </c>
      <c r="AJ78" s="4" t="e">
        <f>AH78/$AD$76</f>
        <v>#NUM!</v>
      </c>
      <c r="AK78" s="3" t="e">
        <f>0.06/$AD$76/$AD$76*AH78*AH78-0.23/$AD$76*AH78+1.36-0.375*AC78/$AD$76</f>
        <v>#NUM!</v>
      </c>
      <c r="AL78" s="4" t="e">
        <f t="shared" ref="AL78:AL79" si="76">(-AE78-SQRT(AG78))/2/AD78</f>
        <v>#NUM!</v>
      </c>
      <c r="AM78" s="4" t="e">
        <f t="shared" ref="AM78:AM79" si="77">AL78/AC78</f>
        <v>#NUM!</v>
      </c>
      <c r="AN78" s="4" t="e">
        <f t="shared" ref="AN78:AN84" si="78">AL78/$AD$76</f>
        <v>#NUM!</v>
      </c>
      <c r="AO78" s="3" t="e">
        <f t="shared" ref="AO78:AO84" si="79">0.06/$AD$76/$AD$76*AL78*AL78-0.23/$AD$76*AL78+1.36-0.375*AC78/$AD$76</f>
        <v>#NUM!</v>
      </c>
      <c r="AP78" s="4">
        <f>$AD$76/AC78</f>
        <v>1</v>
      </c>
    </row>
    <row r="79" spans="1:42" x14ac:dyDescent="0.25">
      <c r="A79" s="22" t="s">
        <v>141</v>
      </c>
      <c r="B79" s="22" t="s">
        <v>8</v>
      </c>
      <c r="C79" s="22"/>
      <c r="D79" s="22"/>
      <c r="E79" s="23"/>
      <c r="F79" s="23"/>
      <c r="O79" s="22" t="s">
        <v>141</v>
      </c>
      <c r="P79" s="22" t="s">
        <v>8</v>
      </c>
      <c r="Q79" s="22"/>
      <c r="R79" s="22"/>
      <c r="S79" s="23"/>
      <c r="T79" s="23"/>
      <c r="U79" s="23"/>
      <c r="V79" s="23"/>
      <c r="W79" s="23"/>
      <c r="X79" s="23"/>
      <c r="Y79" s="23"/>
      <c r="Z79" s="23"/>
      <c r="AA79" s="22"/>
      <c r="AB79" s="3"/>
      <c r="AC79" s="22">
        <v>1.5</v>
      </c>
      <c r="AD79" s="4">
        <f t="shared" ref="AD79:AD92" si="80">0.06/$AD$76/$AD$76</f>
        <v>0.06</v>
      </c>
      <c r="AE79" s="4">
        <f t="shared" ref="AE79:AE92" si="81">-0.23/$AD$76</f>
        <v>-0.23</v>
      </c>
      <c r="AF79" s="4">
        <f t="shared" ref="AF79:AF92" si="82">1.36-0.375*AC79/$AD$76</f>
        <v>0.7975000000000001</v>
      </c>
      <c r="AG79" s="4">
        <f t="shared" ref="AG79:AG92" si="83">AE79*AE79-4*AD79*AF79</f>
        <v>-0.13850000000000001</v>
      </c>
      <c r="AH79" s="4" t="e">
        <f t="shared" si="74"/>
        <v>#NUM!</v>
      </c>
      <c r="AI79" s="4" t="e">
        <f t="shared" si="75"/>
        <v>#NUM!</v>
      </c>
      <c r="AJ79" s="4" t="e">
        <f t="shared" ref="AJ79:AJ92" si="84">AH79/$AD$76</f>
        <v>#NUM!</v>
      </c>
      <c r="AK79" s="3" t="e">
        <f t="shared" ref="AK79:AK92" si="85">0.06/$AD$76/$AD$76*AH79*AH79-0.23/$AD$76*AH79+1.36-0.375*AC79/$AD$76</f>
        <v>#NUM!</v>
      </c>
      <c r="AL79" s="4" t="e">
        <f t="shared" si="76"/>
        <v>#NUM!</v>
      </c>
      <c r="AM79" s="4" t="e">
        <f t="shared" si="77"/>
        <v>#NUM!</v>
      </c>
      <c r="AN79" s="4" t="e">
        <f t="shared" si="78"/>
        <v>#NUM!</v>
      </c>
      <c r="AO79" s="3" t="e">
        <f t="shared" si="79"/>
        <v>#NUM!</v>
      </c>
      <c r="AP79" s="4">
        <f t="shared" ref="AP79:AP88" si="86">$AD$76/AC79</f>
        <v>0.66666666666666663</v>
      </c>
    </row>
    <row r="80" spans="1:42" x14ac:dyDescent="0.25">
      <c r="A80" s="11">
        <f t="shared" ref="A80:B83" si="87">A44*$B$78</f>
        <v>0.5</v>
      </c>
      <c r="B80" s="11">
        <f t="shared" si="87"/>
        <v>-4.75</v>
      </c>
      <c r="C80" s="55"/>
      <c r="D80" s="55"/>
      <c r="E80" s="23"/>
      <c r="F80" s="23"/>
      <c r="O80" s="8"/>
      <c r="P80" s="8"/>
      <c r="Q80" s="55"/>
      <c r="R80" s="55"/>
      <c r="S80" s="23"/>
      <c r="T80" s="23"/>
      <c r="U80" s="23"/>
      <c r="V80" s="23"/>
      <c r="W80" s="23"/>
      <c r="X80" s="23"/>
      <c r="Y80" s="23"/>
      <c r="Z80" s="23"/>
      <c r="AA80" s="22"/>
      <c r="AB80" s="3"/>
      <c r="AC80" s="22">
        <v>3.7</v>
      </c>
      <c r="AD80" s="4">
        <f t="shared" si="80"/>
        <v>0.06</v>
      </c>
      <c r="AE80" s="4">
        <f t="shared" si="81"/>
        <v>-0.23</v>
      </c>
      <c r="AF80" s="4">
        <f t="shared" si="82"/>
        <v>-2.750000000000008E-2</v>
      </c>
      <c r="AG80" s="4">
        <f t="shared" si="83"/>
        <v>5.9500000000000025E-2</v>
      </c>
      <c r="AH80" s="4">
        <f>(-AE80+SQRT(AG80))/2/AD80</f>
        <v>3.9493851529417454</v>
      </c>
      <c r="AI80" s="4">
        <f>AH80/AC80</f>
        <v>1.0674013926869581</v>
      </c>
      <c r="AJ80" s="4">
        <f t="shared" si="84"/>
        <v>3.9493851529417454</v>
      </c>
      <c r="AK80" s="3">
        <f t="shared" si="85"/>
        <v>0</v>
      </c>
      <c r="AL80" s="4">
        <f>(-AE80-SQRT(AG80))/2/AD80</f>
        <v>-0.11605181960841159</v>
      </c>
      <c r="AM80" s="4">
        <f>AL80/AC80</f>
        <v>-3.1365356650922049E-2</v>
      </c>
      <c r="AN80" s="4">
        <f t="shared" si="78"/>
        <v>-0.11605181960841159</v>
      </c>
      <c r="AO80" s="3">
        <f t="shared" si="79"/>
        <v>0</v>
      </c>
      <c r="AP80" s="4">
        <f t="shared" si="86"/>
        <v>0.27027027027027023</v>
      </c>
    </row>
    <row r="81" spans="1:42" x14ac:dyDescent="0.25">
      <c r="A81" s="11">
        <f t="shared" si="87"/>
        <v>0.70000000000000007</v>
      </c>
      <c r="B81" s="11">
        <f t="shared" si="87"/>
        <v>-4.6499999999999995</v>
      </c>
      <c r="C81" s="55"/>
      <c r="D81" s="55"/>
      <c r="E81" s="23"/>
      <c r="F81" s="23"/>
      <c r="O81" s="8"/>
      <c r="P81" s="8"/>
      <c r="Q81" s="55"/>
      <c r="R81" s="55"/>
      <c r="S81" s="23"/>
      <c r="T81" s="23"/>
      <c r="U81" s="23"/>
      <c r="V81" s="23"/>
      <c r="W81" s="23"/>
      <c r="X81" s="23"/>
      <c r="Y81" s="23"/>
      <c r="Z81" s="23"/>
      <c r="AA81" s="22"/>
      <c r="AB81" s="3"/>
      <c r="AC81" s="22">
        <v>4</v>
      </c>
      <c r="AD81" s="4">
        <f t="shared" si="80"/>
        <v>0.06</v>
      </c>
      <c r="AE81" s="4">
        <f t="shared" si="81"/>
        <v>-0.23</v>
      </c>
      <c r="AF81" s="4">
        <f t="shared" si="82"/>
        <v>-0.1399999999999999</v>
      </c>
      <c r="AG81" s="4">
        <f t="shared" si="83"/>
        <v>8.649999999999998E-2</v>
      </c>
      <c r="AH81" s="4">
        <f t="shared" ref="AH81:AH92" si="88">(-AE81+SQRT(AG81))/2/AD81</f>
        <v>4.3675735283087898</v>
      </c>
      <c r="AI81" s="4">
        <f t="shared" ref="AI81:AI92" si="89">AH81/AC81</f>
        <v>1.0918933820771974</v>
      </c>
      <c r="AJ81" s="4">
        <f t="shared" si="84"/>
        <v>4.3675735283087898</v>
      </c>
      <c r="AK81" s="3">
        <f t="shared" si="85"/>
        <v>0</v>
      </c>
      <c r="AL81" s="4">
        <f t="shared" ref="AL81:AL84" si="90">(-AE81-SQRT(AG81))/2/AD81</f>
        <v>-0.53424019497545661</v>
      </c>
      <c r="AM81" s="4">
        <f t="shared" ref="AM81:AM84" si="91">AL81/AC81</f>
        <v>-0.13356004874386415</v>
      </c>
      <c r="AN81" s="4">
        <f t="shared" si="78"/>
        <v>-0.53424019497545661</v>
      </c>
      <c r="AO81" s="3">
        <f t="shared" si="79"/>
        <v>0</v>
      </c>
      <c r="AP81" s="4">
        <f t="shared" si="86"/>
        <v>0.25</v>
      </c>
    </row>
    <row r="82" spans="1:42" x14ac:dyDescent="0.25">
      <c r="A82" s="11">
        <f t="shared" si="87"/>
        <v>1</v>
      </c>
      <c r="B82" s="11">
        <f t="shared" si="87"/>
        <v>-4.5</v>
      </c>
      <c r="C82" s="55"/>
      <c r="D82" s="55"/>
      <c r="E82" s="23"/>
      <c r="F82" s="23"/>
      <c r="O82" s="8"/>
      <c r="P82" s="8"/>
      <c r="Q82" s="55"/>
      <c r="R82" s="55"/>
      <c r="S82" s="23"/>
      <c r="T82" s="23"/>
      <c r="U82" s="23"/>
      <c r="V82" s="23"/>
      <c r="W82" s="23"/>
      <c r="X82" s="23"/>
      <c r="Y82" s="23"/>
      <c r="Z82" s="23"/>
      <c r="AA82" s="22"/>
      <c r="AB82" s="3"/>
      <c r="AC82" s="22">
        <v>5</v>
      </c>
      <c r="AD82" s="4">
        <f t="shared" si="80"/>
        <v>0.06</v>
      </c>
      <c r="AE82" s="4">
        <f t="shared" si="81"/>
        <v>-0.23</v>
      </c>
      <c r="AF82" s="4">
        <f t="shared" si="82"/>
        <v>-0.5149999999999999</v>
      </c>
      <c r="AG82" s="4">
        <f t="shared" si="83"/>
        <v>0.17649999999999999</v>
      </c>
      <c r="AH82" s="4">
        <f t="shared" si="88"/>
        <v>5.4176585896000011</v>
      </c>
      <c r="AI82" s="4">
        <f t="shared" si="89"/>
        <v>1.0835317179200001</v>
      </c>
      <c r="AJ82" s="4">
        <f t="shared" si="84"/>
        <v>5.4176585896000011</v>
      </c>
      <c r="AK82" s="3">
        <f t="shared" si="85"/>
        <v>0</v>
      </c>
      <c r="AL82" s="4">
        <f t="shared" si="90"/>
        <v>-1.5843252562666672</v>
      </c>
      <c r="AM82" s="4">
        <f t="shared" si="91"/>
        <v>-0.31686505125333342</v>
      </c>
      <c r="AN82" s="4">
        <f t="shared" si="78"/>
        <v>-1.5843252562666672</v>
      </c>
      <c r="AO82" s="3">
        <f t="shared" si="79"/>
        <v>0</v>
      </c>
      <c r="AP82" s="4">
        <f t="shared" si="86"/>
        <v>0.2</v>
      </c>
    </row>
    <row r="83" spans="1:42" x14ac:dyDescent="0.25">
      <c r="A83" s="11">
        <f t="shared" si="87"/>
        <v>1.5</v>
      </c>
      <c r="B83" s="11">
        <f t="shared" si="87"/>
        <v>-4.25</v>
      </c>
      <c r="C83" s="55"/>
      <c r="D83" s="55"/>
      <c r="E83" s="23"/>
      <c r="F83" s="23"/>
      <c r="O83" s="11">
        <f>O47*$B$78</f>
        <v>1.5</v>
      </c>
      <c r="P83" s="11">
        <f>P47*$B$78</f>
        <v>-4.8250000000000002</v>
      </c>
      <c r="Q83" s="55"/>
      <c r="R83" s="55"/>
      <c r="S83" s="23"/>
      <c r="T83" s="23"/>
      <c r="U83" s="23"/>
      <c r="V83" s="23"/>
      <c r="W83" s="23"/>
      <c r="X83" s="23"/>
      <c r="Y83" s="23"/>
      <c r="Z83" s="23"/>
      <c r="AA83" s="22"/>
      <c r="AB83" s="3"/>
      <c r="AC83" s="22">
        <v>6</v>
      </c>
      <c r="AD83" s="4">
        <f t="shared" si="80"/>
        <v>0.06</v>
      </c>
      <c r="AE83" s="4">
        <f t="shared" si="81"/>
        <v>-0.23</v>
      </c>
      <c r="AF83" s="4">
        <f t="shared" si="82"/>
        <v>-0.8899999999999999</v>
      </c>
      <c r="AG83" s="4">
        <f t="shared" si="83"/>
        <v>0.26649999999999996</v>
      </c>
      <c r="AH83" s="4">
        <f t="shared" si="88"/>
        <v>6.2186364997134351</v>
      </c>
      <c r="AI83" s="4">
        <f t="shared" si="89"/>
        <v>1.0364394166189059</v>
      </c>
      <c r="AJ83" s="4">
        <f t="shared" si="84"/>
        <v>6.2186364997134351</v>
      </c>
      <c r="AK83" s="3">
        <f t="shared" si="85"/>
        <v>0</v>
      </c>
      <c r="AL83" s="4">
        <f t="shared" si="90"/>
        <v>-2.3853031663801021</v>
      </c>
      <c r="AM83" s="4">
        <f t="shared" si="91"/>
        <v>-0.39755052773001703</v>
      </c>
      <c r="AN83" s="4">
        <f t="shared" si="78"/>
        <v>-2.3853031663801021</v>
      </c>
      <c r="AO83" s="3">
        <f t="shared" si="79"/>
        <v>0</v>
      </c>
      <c r="AP83" s="4">
        <f t="shared" si="86"/>
        <v>0.16666666666666666</v>
      </c>
    </row>
    <row r="84" spans="1:42" x14ac:dyDescent="0.25">
      <c r="A84" s="8"/>
      <c r="B84" s="8"/>
      <c r="C84" s="55"/>
      <c r="D84" s="55"/>
      <c r="E84" s="23"/>
      <c r="F84" s="23"/>
      <c r="O84" s="11">
        <f t="shared" ref="O84:P84" si="92">O48*$B$78</f>
        <v>2</v>
      </c>
      <c r="P84" s="11">
        <f t="shared" si="92"/>
        <v>-3.0999999999999996</v>
      </c>
      <c r="Q84" s="55"/>
      <c r="R84" s="55"/>
      <c r="S84" s="23"/>
      <c r="T84" s="23"/>
      <c r="U84" s="23"/>
      <c r="V84" s="23"/>
      <c r="W84" s="23"/>
      <c r="X84" s="23"/>
      <c r="Y84" s="23"/>
      <c r="Z84" s="23"/>
      <c r="AA84" s="22"/>
      <c r="AB84" s="3"/>
      <c r="AC84" s="22">
        <v>7</v>
      </c>
      <c r="AD84" s="4">
        <f t="shared" si="80"/>
        <v>0.06</v>
      </c>
      <c r="AE84" s="4">
        <f t="shared" si="81"/>
        <v>-0.23</v>
      </c>
      <c r="AF84" s="4">
        <f t="shared" si="82"/>
        <v>-1.2649999999999999</v>
      </c>
      <c r="AG84" s="4">
        <f t="shared" si="83"/>
        <v>0.35649999999999998</v>
      </c>
      <c r="AH84" s="4">
        <f t="shared" si="88"/>
        <v>6.8923017461760594</v>
      </c>
      <c r="AI84" s="4">
        <f t="shared" si="89"/>
        <v>0.98461453516800845</v>
      </c>
      <c r="AJ84" s="4">
        <f t="shared" si="84"/>
        <v>6.8923017461760594</v>
      </c>
      <c r="AK84" s="3">
        <f t="shared" si="85"/>
        <v>0</v>
      </c>
      <c r="AL84" s="11">
        <f t="shared" si="90"/>
        <v>-3.0589684128427268</v>
      </c>
      <c r="AM84" s="11">
        <f t="shared" si="91"/>
        <v>-0.43699548754896095</v>
      </c>
      <c r="AN84" s="11">
        <f t="shared" si="78"/>
        <v>-3.0589684128427268</v>
      </c>
      <c r="AO84" s="22">
        <f t="shared" si="79"/>
        <v>0</v>
      </c>
      <c r="AP84" s="4">
        <f t="shared" si="86"/>
        <v>0.14285714285714285</v>
      </c>
    </row>
    <row r="85" spans="1:42" x14ac:dyDescent="0.25">
      <c r="A85" s="8"/>
      <c r="B85" s="8"/>
      <c r="C85" s="55"/>
      <c r="D85" s="55"/>
      <c r="E85" s="23"/>
      <c r="F85" s="23"/>
      <c r="O85" s="11">
        <f t="shared" ref="O85:P85" si="93">O49*$B$78</f>
        <v>2.5</v>
      </c>
      <c r="P85" s="11">
        <f t="shared" si="93"/>
        <v>-1.3749999999999996</v>
      </c>
      <c r="Q85" s="55"/>
      <c r="R85" s="55"/>
      <c r="S85" s="23"/>
      <c r="T85" s="23"/>
      <c r="U85" s="23"/>
      <c r="V85" s="23"/>
      <c r="W85" s="23"/>
      <c r="X85" s="23"/>
      <c r="Y85" s="23"/>
      <c r="Z85" s="23"/>
      <c r="AA85" s="22"/>
      <c r="AB85" s="3"/>
      <c r="AC85" s="22">
        <v>8</v>
      </c>
      <c r="AD85" s="4">
        <f t="shared" si="80"/>
        <v>0.06</v>
      </c>
      <c r="AE85" s="4">
        <f t="shared" si="81"/>
        <v>-0.23</v>
      </c>
      <c r="AF85" s="4">
        <f t="shared" si="82"/>
        <v>-1.64</v>
      </c>
      <c r="AG85" s="4">
        <f t="shared" si="83"/>
        <v>0.44649999999999995</v>
      </c>
      <c r="AH85" s="4">
        <f t="shared" si="88"/>
        <v>7.4850546240960378</v>
      </c>
      <c r="AI85" s="4">
        <f t="shared" si="89"/>
        <v>0.93563182801200473</v>
      </c>
      <c r="AJ85" s="4">
        <f t="shared" si="84"/>
        <v>7.4850546240960378</v>
      </c>
      <c r="AK85" s="3">
        <f t="shared" si="85"/>
        <v>0</v>
      </c>
      <c r="AL85" s="8">
        <f t="shared" ref="AL85:AL87" si="94">(-AE85-SQRT(AG85))/2/AD85</f>
        <v>-3.6517212907627044</v>
      </c>
      <c r="AM85" s="8">
        <f t="shared" ref="AM85:AM87" si="95">AL85/AC85</f>
        <v>-0.45646516134533804</v>
      </c>
      <c r="AN85" s="8">
        <f t="shared" ref="AN85:AN87" si="96">AL85/$AD$76</f>
        <v>-3.6517212907627044</v>
      </c>
      <c r="AO85" s="7">
        <f t="shared" ref="AO85:AO87" si="97">0.06/$AD$76/$AD$76*AL85*AL85-0.23/$AD$76*AL85+1.36-0.375*AC85/$AD$76</f>
        <v>0</v>
      </c>
      <c r="AP85" s="4">
        <f t="shared" si="86"/>
        <v>0.125</v>
      </c>
    </row>
    <row r="86" spans="1:42" x14ac:dyDescent="0.25">
      <c r="A86" s="3"/>
      <c r="B86" s="3"/>
      <c r="O86" s="11">
        <f t="shared" ref="O86:P86" si="98">O50*$B$78</f>
        <v>3</v>
      </c>
      <c r="P86" s="11">
        <f t="shared" si="98"/>
        <v>0.3499999999999992</v>
      </c>
      <c r="Q86" s="23"/>
      <c r="R86" s="23"/>
      <c r="S86" s="23"/>
      <c r="T86" s="23"/>
      <c r="U86" s="23"/>
      <c r="V86" s="23"/>
      <c r="W86" s="23"/>
      <c r="X86" s="23"/>
      <c r="Y86" s="23"/>
      <c r="Z86" s="23"/>
      <c r="AA86" s="22"/>
      <c r="AB86" s="3"/>
      <c r="AC86" s="22">
        <v>9</v>
      </c>
      <c r="AD86" s="4">
        <f t="shared" si="80"/>
        <v>0.06</v>
      </c>
      <c r="AE86" s="4">
        <f t="shared" si="81"/>
        <v>-0.23</v>
      </c>
      <c r="AF86" s="4">
        <f t="shared" si="82"/>
        <v>-2.0149999999999997</v>
      </c>
      <c r="AG86" s="4">
        <f t="shared" si="83"/>
        <v>0.53649999999999998</v>
      </c>
      <c r="AH86" s="4">
        <f t="shared" si="88"/>
        <v>8.0205133590766629</v>
      </c>
      <c r="AI86" s="4">
        <f t="shared" si="89"/>
        <v>0.89116815100851809</v>
      </c>
      <c r="AJ86" s="4">
        <f t="shared" si="84"/>
        <v>8.0205133590766629</v>
      </c>
      <c r="AK86" s="3">
        <f t="shared" si="85"/>
        <v>0</v>
      </c>
      <c r="AL86" s="8">
        <f t="shared" si="94"/>
        <v>-4.1871800257433298</v>
      </c>
      <c r="AM86" s="8">
        <f t="shared" si="95"/>
        <v>-0.46524222508259222</v>
      </c>
      <c r="AN86" s="8">
        <f t="shared" si="96"/>
        <v>-4.1871800257433298</v>
      </c>
      <c r="AO86" s="7">
        <f t="shared" si="97"/>
        <v>0</v>
      </c>
      <c r="AP86" s="4">
        <f t="shared" si="86"/>
        <v>0.1111111111111111</v>
      </c>
    </row>
    <row r="87" spans="1:42" x14ac:dyDescent="0.25">
      <c r="O87" s="23"/>
      <c r="P87" s="23"/>
      <c r="Q87" s="23"/>
      <c r="R87" s="23"/>
      <c r="S87" s="23"/>
      <c r="T87" s="23"/>
      <c r="U87" s="23"/>
      <c r="V87" s="23"/>
      <c r="W87" s="23"/>
      <c r="X87" s="23"/>
      <c r="Y87" s="23"/>
      <c r="Z87" s="23"/>
      <c r="AA87" s="22"/>
      <c r="AB87" s="3"/>
      <c r="AC87" s="22">
        <v>10</v>
      </c>
      <c r="AD87" s="4">
        <f t="shared" si="80"/>
        <v>0.06</v>
      </c>
      <c r="AE87" s="4">
        <f t="shared" si="81"/>
        <v>-0.23</v>
      </c>
      <c r="AF87" s="4">
        <f t="shared" si="82"/>
        <v>-2.3899999999999997</v>
      </c>
      <c r="AG87" s="4">
        <f t="shared" si="83"/>
        <v>0.62649999999999983</v>
      </c>
      <c r="AH87" s="4">
        <f t="shared" si="88"/>
        <v>8.5126460817682954</v>
      </c>
      <c r="AI87" s="4">
        <f t="shared" si="89"/>
        <v>0.85126460817682958</v>
      </c>
      <c r="AJ87" s="4">
        <f t="shared" si="84"/>
        <v>8.5126460817682954</v>
      </c>
      <c r="AK87" s="3">
        <f t="shared" si="85"/>
        <v>0</v>
      </c>
      <c r="AL87" s="8">
        <f t="shared" si="94"/>
        <v>-4.6793127484349624</v>
      </c>
      <c r="AM87" s="8">
        <f t="shared" si="95"/>
        <v>-0.46793127484349623</v>
      </c>
      <c r="AN87" s="8">
        <f t="shared" si="96"/>
        <v>-4.6793127484349624</v>
      </c>
      <c r="AO87" s="7">
        <f t="shared" si="97"/>
        <v>0</v>
      </c>
      <c r="AP87" s="4">
        <f t="shared" si="86"/>
        <v>0.1</v>
      </c>
    </row>
    <row r="88" spans="1:42" s="36" customFormat="1" x14ac:dyDescent="0.25">
      <c r="M88" s="3"/>
      <c r="N88" s="3"/>
      <c r="O88" s="23"/>
      <c r="P88" s="23"/>
      <c r="Q88" s="23"/>
      <c r="R88" s="23"/>
      <c r="S88" s="23"/>
      <c r="T88" s="23"/>
      <c r="U88" s="23"/>
      <c r="V88" s="23"/>
      <c r="W88" s="23"/>
      <c r="X88" s="23"/>
      <c r="Y88" s="23"/>
      <c r="Z88" s="23"/>
      <c r="AA88" s="22"/>
      <c r="AB88" s="3"/>
      <c r="AC88" s="22">
        <v>11</v>
      </c>
      <c r="AD88" s="4">
        <f t="shared" si="80"/>
        <v>0.06</v>
      </c>
      <c r="AE88" s="4">
        <f t="shared" si="81"/>
        <v>-0.23</v>
      </c>
      <c r="AF88" s="4">
        <f t="shared" si="82"/>
        <v>-2.7649999999999997</v>
      </c>
      <c r="AG88" s="4">
        <f t="shared" si="83"/>
        <v>0.71649999999999991</v>
      </c>
      <c r="AH88" s="4">
        <f t="shared" si="88"/>
        <v>8.9705269179364944</v>
      </c>
      <c r="AI88" s="4">
        <f t="shared" si="89"/>
        <v>0.81550244708513586</v>
      </c>
      <c r="AJ88" s="4">
        <f t="shared" si="84"/>
        <v>8.9705269179364944</v>
      </c>
      <c r="AK88" s="3">
        <f t="shared" si="85"/>
        <v>0</v>
      </c>
      <c r="AL88" s="8">
        <f t="shared" ref="AL88" si="99">(-AE88-SQRT(AG88))/2/AD88</f>
        <v>-5.1371935846031613</v>
      </c>
      <c r="AM88" s="8">
        <f t="shared" ref="AM88" si="100">AL88/AC88</f>
        <v>-0.46701759860028741</v>
      </c>
      <c r="AN88" s="8">
        <f>AL88/$AD$76</f>
        <v>-5.1371935846031613</v>
      </c>
      <c r="AO88" s="7">
        <f>0.06/$AD$76/$AD$76*AL88*AL88-0.23/$AD$76*AL88+1.36-0.375*AC88/$AD$76</f>
        <v>0</v>
      </c>
      <c r="AP88" s="4">
        <f t="shared" si="86"/>
        <v>9.0909090909090912E-2</v>
      </c>
    </row>
    <row r="89" spans="1:42" s="36" customFormat="1" x14ac:dyDescent="0.25">
      <c r="M89" s="3"/>
      <c r="N89" s="3"/>
      <c r="O89" s="23"/>
      <c r="P89" s="23"/>
      <c r="Q89" s="23"/>
      <c r="R89" s="23"/>
      <c r="S89" s="23"/>
      <c r="T89" s="23"/>
      <c r="U89" s="23"/>
      <c r="V89" s="23"/>
      <c r="W89" s="23"/>
      <c r="X89" s="23"/>
      <c r="Y89" s="23"/>
      <c r="Z89" s="23"/>
      <c r="AA89" s="22"/>
      <c r="AB89" s="3"/>
      <c r="AC89" s="22">
        <v>12</v>
      </c>
      <c r="AD89" s="4">
        <f t="shared" si="80"/>
        <v>0.06</v>
      </c>
      <c r="AE89" s="4">
        <f t="shared" si="81"/>
        <v>-0.23</v>
      </c>
      <c r="AF89" s="4">
        <f t="shared" si="82"/>
        <v>-3.1399999999999997</v>
      </c>
      <c r="AG89" s="4">
        <f t="shared" si="83"/>
        <v>0.80649999999999999</v>
      </c>
      <c r="AH89" s="4">
        <f t="shared" si="88"/>
        <v>9.4004454210423241</v>
      </c>
      <c r="AI89" s="4">
        <f t="shared" si="89"/>
        <v>0.78337045175352704</v>
      </c>
      <c r="AJ89" s="4">
        <f t="shared" si="84"/>
        <v>9.4004454210423241</v>
      </c>
      <c r="AK89" s="3">
        <f t="shared" si="85"/>
        <v>0</v>
      </c>
      <c r="AL89" s="8"/>
      <c r="AM89" s="8"/>
      <c r="AN89" s="8"/>
      <c r="AO89" s="7"/>
      <c r="AP89" s="115"/>
    </row>
    <row r="90" spans="1:42" s="36" customFormat="1" x14ac:dyDescent="0.25">
      <c r="M90" s="3"/>
      <c r="N90" s="3"/>
      <c r="O90" s="23"/>
      <c r="P90" s="23"/>
      <c r="Q90" s="23"/>
      <c r="R90" s="23"/>
      <c r="S90" s="23"/>
      <c r="T90" s="23"/>
      <c r="U90" s="23"/>
      <c r="V90" s="23"/>
      <c r="W90" s="23"/>
      <c r="X90" s="23"/>
      <c r="Y90" s="23"/>
      <c r="Z90" s="23"/>
      <c r="AA90" s="22"/>
      <c r="AB90" s="3"/>
      <c r="AC90" s="22">
        <v>13</v>
      </c>
      <c r="AD90" s="4">
        <f t="shared" si="80"/>
        <v>0.06</v>
      </c>
      <c r="AE90" s="4">
        <f t="shared" si="81"/>
        <v>-0.23</v>
      </c>
      <c r="AF90" s="4">
        <f t="shared" si="82"/>
        <v>-3.5149999999999997</v>
      </c>
      <c r="AG90" s="4">
        <f t="shared" si="83"/>
        <v>0.89649999999999985</v>
      </c>
      <c r="AH90" s="4">
        <f t="shared" si="88"/>
        <v>9.8069736597084738</v>
      </c>
      <c r="AI90" s="4">
        <f t="shared" si="89"/>
        <v>0.75438258920834411</v>
      </c>
      <c r="AJ90" s="4">
        <f t="shared" si="84"/>
        <v>9.8069736597084738</v>
      </c>
      <c r="AK90" s="3">
        <f t="shared" si="85"/>
        <v>0</v>
      </c>
      <c r="AL90" s="8"/>
      <c r="AM90" s="8"/>
      <c r="AN90" s="8"/>
      <c r="AO90" s="7"/>
      <c r="AP90" s="115"/>
    </row>
    <row r="91" spans="1:42" s="36" customFormat="1" x14ac:dyDescent="0.25">
      <c r="M91" s="3"/>
      <c r="N91" s="3"/>
      <c r="O91" s="23"/>
      <c r="P91" s="23"/>
      <c r="Q91" s="23"/>
      <c r="R91" s="23"/>
      <c r="S91" s="23"/>
      <c r="T91" s="23"/>
      <c r="U91" s="23"/>
      <c r="V91" s="23"/>
      <c r="W91" s="23"/>
      <c r="X91" s="23"/>
      <c r="Y91" s="23"/>
      <c r="Z91" s="23"/>
      <c r="AA91" s="22"/>
      <c r="AB91" s="3"/>
      <c r="AC91" s="22">
        <v>14</v>
      </c>
      <c r="AD91" s="4">
        <f t="shared" si="80"/>
        <v>0.06</v>
      </c>
      <c r="AE91" s="4">
        <f t="shared" si="81"/>
        <v>-0.23</v>
      </c>
      <c r="AF91" s="4">
        <f t="shared" si="82"/>
        <v>-3.8899999999999997</v>
      </c>
      <c r="AG91" s="4">
        <f t="shared" si="83"/>
        <v>0.98649999999999993</v>
      </c>
      <c r="AH91" s="4">
        <f t="shared" si="88"/>
        <v>10.193558863889272</v>
      </c>
      <c r="AI91" s="4">
        <f t="shared" si="89"/>
        <v>0.7281113474206623</v>
      </c>
      <c r="AJ91" s="4">
        <f t="shared" si="84"/>
        <v>10.193558863889272</v>
      </c>
      <c r="AK91" s="3">
        <f t="shared" si="85"/>
        <v>0</v>
      </c>
      <c r="AL91" s="8"/>
      <c r="AM91" s="8"/>
      <c r="AN91" s="8"/>
      <c r="AO91" s="7"/>
      <c r="AP91" s="115"/>
    </row>
    <row r="92" spans="1:42" s="36" customFormat="1" x14ac:dyDescent="0.25">
      <c r="M92" s="3"/>
      <c r="N92" s="3"/>
      <c r="O92" s="23"/>
      <c r="P92" s="23"/>
      <c r="Q92" s="23"/>
      <c r="R92" s="23"/>
      <c r="S92" s="23"/>
      <c r="T92" s="23"/>
      <c r="U92" s="23"/>
      <c r="V92" s="23"/>
      <c r="W92" s="23"/>
      <c r="X92" s="23"/>
      <c r="Y92" s="23"/>
      <c r="Z92" s="23"/>
      <c r="AA92" s="22"/>
      <c r="AB92" s="3"/>
      <c r="AC92" s="22">
        <v>15</v>
      </c>
      <c r="AD92" s="4">
        <f t="shared" si="80"/>
        <v>0.06</v>
      </c>
      <c r="AE92" s="4">
        <f t="shared" si="81"/>
        <v>-0.23</v>
      </c>
      <c r="AF92" s="4">
        <f t="shared" si="82"/>
        <v>-4.2649999999999997</v>
      </c>
      <c r="AG92" s="4">
        <f t="shared" si="83"/>
        <v>1.0764999999999998</v>
      </c>
      <c r="AH92" s="4">
        <f t="shared" si="88"/>
        <v>10.562876497826471</v>
      </c>
      <c r="AI92" s="4">
        <f t="shared" si="89"/>
        <v>0.70419176652176474</v>
      </c>
      <c r="AJ92" s="4">
        <f t="shared" si="84"/>
        <v>10.562876497826471</v>
      </c>
      <c r="AK92" s="3">
        <f t="shared" si="85"/>
        <v>0</v>
      </c>
      <c r="AL92" s="8"/>
      <c r="AM92" s="8"/>
      <c r="AN92" s="8"/>
      <c r="AO92" s="7"/>
      <c r="AP92" s="115"/>
    </row>
    <row r="93" spans="1:42" s="36" customFormat="1" ht="15.75" thickBot="1" x14ac:dyDescent="0.3">
      <c r="M93" s="3"/>
      <c r="N93" s="3"/>
      <c r="O93" s="23"/>
      <c r="P93" s="23"/>
      <c r="Q93" s="23"/>
      <c r="R93" s="23"/>
      <c r="S93" s="23"/>
      <c r="T93" s="23"/>
      <c r="U93" s="23"/>
      <c r="V93" s="23"/>
      <c r="W93" s="23"/>
      <c r="X93" s="23"/>
      <c r="Y93" s="23"/>
      <c r="Z93" s="23"/>
      <c r="AA93" s="22"/>
      <c r="AB93" s="3"/>
      <c r="AN93" s="115"/>
      <c r="AP93" s="115"/>
    </row>
    <row r="94" spans="1:42" s="36" customFormat="1" ht="15.75" thickBot="1" x14ac:dyDescent="0.3">
      <c r="M94" s="3"/>
      <c r="N94" s="3"/>
      <c r="O94" s="23"/>
      <c r="P94" s="23"/>
      <c r="Q94" s="23"/>
      <c r="R94" s="23"/>
      <c r="S94" s="23"/>
      <c r="T94" s="23"/>
      <c r="U94" s="23"/>
      <c r="V94" s="23"/>
      <c r="W94" s="23"/>
      <c r="X94" s="23"/>
      <c r="Y94" s="23"/>
      <c r="Z94" s="23"/>
      <c r="AA94" s="22"/>
      <c r="AB94" s="3"/>
      <c r="AC94" s="88" t="s">
        <v>248</v>
      </c>
      <c r="AD94" s="87">
        <v>1.5</v>
      </c>
      <c r="AE94" s="3"/>
      <c r="AF94" s="3"/>
      <c r="AG94" s="3"/>
      <c r="AH94" s="211" t="s">
        <v>232</v>
      </c>
      <c r="AI94" s="211"/>
      <c r="AJ94" s="211"/>
      <c r="AK94" s="211"/>
      <c r="AL94" s="211" t="s">
        <v>231</v>
      </c>
      <c r="AM94" s="211"/>
      <c r="AN94" s="211"/>
      <c r="AO94" s="211"/>
      <c r="AP94" s="115"/>
    </row>
    <row r="95" spans="1:42" s="36" customFormat="1" ht="17.25" x14ac:dyDescent="0.25">
      <c r="M95" s="3"/>
      <c r="N95" s="3"/>
      <c r="O95" s="23"/>
      <c r="P95" s="23"/>
      <c r="Q95" s="23"/>
      <c r="R95" s="23"/>
      <c r="S95" s="23"/>
      <c r="T95" s="23"/>
      <c r="U95" s="23"/>
      <c r="V95" s="23"/>
      <c r="W95" s="23"/>
      <c r="X95" s="23"/>
      <c r="Y95" s="23"/>
      <c r="Z95" s="23"/>
      <c r="AA95" s="22"/>
      <c r="AB95" s="3"/>
      <c r="AC95" s="3" t="s">
        <v>143</v>
      </c>
      <c r="AD95" s="3" t="s">
        <v>230</v>
      </c>
      <c r="AE95" s="3" t="s">
        <v>229</v>
      </c>
      <c r="AF95" s="3" t="s">
        <v>228</v>
      </c>
      <c r="AG95" s="3" t="s">
        <v>227</v>
      </c>
      <c r="AH95" s="3" t="s">
        <v>8</v>
      </c>
      <c r="AI95" s="3" t="s">
        <v>96</v>
      </c>
      <c r="AJ95" s="3" t="s">
        <v>13</v>
      </c>
      <c r="AK95" s="3" t="s">
        <v>226</v>
      </c>
      <c r="AL95" s="3" t="s">
        <v>8</v>
      </c>
      <c r="AM95" s="3" t="s">
        <v>96</v>
      </c>
      <c r="AN95" s="115" t="s">
        <v>13</v>
      </c>
      <c r="AO95" s="3" t="s">
        <v>226</v>
      </c>
      <c r="AP95" s="115" t="s">
        <v>139</v>
      </c>
    </row>
    <row r="96" spans="1:42" s="36" customFormat="1" x14ac:dyDescent="0.25">
      <c r="M96" s="3"/>
      <c r="N96" s="3"/>
      <c r="O96" s="23"/>
      <c r="P96" s="23"/>
      <c r="Q96" s="23"/>
      <c r="R96" s="23"/>
      <c r="S96" s="23"/>
      <c r="T96" s="23"/>
      <c r="U96" s="23"/>
      <c r="V96" s="23"/>
      <c r="W96" s="23"/>
      <c r="X96" s="23"/>
      <c r="Y96" s="23"/>
      <c r="Z96" s="23"/>
      <c r="AA96" s="22"/>
      <c r="AB96" s="3"/>
      <c r="AC96" s="22">
        <v>1</v>
      </c>
      <c r="AD96" s="4">
        <f>0.06/$AD$94/$AD$94</f>
        <v>2.6666666666666668E-2</v>
      </c>
      <c r="AE96" s="4">
        <f>-0.23/$AD$94</f>
        <v>-0.15333333333333335</v>
      </c>
      <c r="AF96" s="4">
        <f>1.36-0.375*AC96/$AD$94</f>
        <v>1.1100000000000001</v>
      </c>
      <c r="AG96" s="4">
        <f>AE96*AE96-4*AD96*AF96</f>
        <v>-9.4888888888888911E-2</v>
      </c>
      <c r="AH96" s="4" t="e">
        <f t="shared" ref="AH96:AH97" si="101">(-AE96+SQRT(AG96))/2/AD96</f>
        <v>#NUM!</v>
      </c>
      <c r="AI96" s="4" t="e">
        <f t="shared" ref="AI96:AI97" si="102">AH96/AC96</f>
        <v>#NUM!</v>
      </c>
      <c r="AJ96" s="4" t="e">
        <f>AH96/$AD$94</f>
        <v>#NUM!</v>
      </c>
      <c r="AK96" s="3" t="e">
        <f>0.06/$AD$94/$AD$94*AH96*AH96-0.23/$AD$94*AH96+1.36-0.375*AC96/$AD$94</f>
        <v>#NUM!</v>
      </c>
      <c r="AL96" s="4" t="e">
        <f t="shared" ref="AL96:AL97" si="103">(-AE96-SQRT(AG96))/2/AD96</f>
        <v>#NUM!</v>
      </c>
      <c r="AM96" s="4" t="e">
        <f t="shared" ref="AM96:AM97" si="104">AL96/AC96</f>
        <v>#NUM!</v>
      </c>
      <c r="AN96" s="4" t="e">
        <f t="shared" ref="AN96:AN106" si="105">AL96/$AD$94</f>
        <v>#NUM!</v>
      </c>
      <c r="AO96" s="3" t="e">
        <f t="shared" ref="AO96:AO106" si="106">0.06/$AD$94/$AD$94*AL96*AL96-0.23/$AD$94*AL96+1.36-0.375*AC96/$AD$94</f>
        <v>#NUM!</v>
      </c>
      <c r="AP96" s="4">
        <f>$AD$94/AC96</f>
        <v>1.5</v>
      </c>
    </row>
    <row r="97" spans="1:42" s="36" customFormat="1" x14ac:dyDescent="0.25">
      <c r="M97" s="3"/>
      <c r="N97" s="3"/>
      <c r="O97" s="23"/>
      <c r="P97" s="23"/>
      <c r="Q97" s="23"/>
      <c r="R97" s="23"/>
      <c r="S97" s="23"/>
      <c r="T97" s="23"/>
      <c r="U97" s="23"/>
      <c r="V97" s="23"/>
      <c r="W97" s="23"/>
      <c r="X97" s="23"/>
      <c r="Y97" s="23"/>
      <c r="Z97" s="23"/>
      <c r="AA97" s="22"/>
      <c r="AB97" s="3"/>
      <c r="AC97" s="22">
        <v>1.5</v>
      </c>
      <c r="AD97" s="4">
        <f t="shared" ref="AD97:AD110" si="107">0.06/$AD$94/$AD$94</f>
        <v>2.6666666666666668E-2</v>
      </c>
      <c r="AE97" s="4">
        <f t="shared" ref="AE97:AE110" si="108">-0.23/$AD$94</f>
        <v>-0.15333333333333335</v>
      </c>
      <c r="AF97" s="4">
        <f t="shared" ref="AF97:AF110" si="109">1.36-0.375*AC97/$AD$94</f>
        <v>0.9850000000000001</v>
      </c>
      <c r="AG97" s="4">
        <f t="shared" ref="AG97:AG110" si="110">AE97*AE97-4*AD97*AF97</f>
        <v>-8.1555555555555576E-2</v>
      </c>
      <c r="AH97" s="4" t="e">
        <f t="shared" si="101"/>
        <v>#NUM!</v>
      </c>
      <c r="AI97" s="4" t="e">
        <f t="shared" si="102"/>
        <v>#NUM!</v>
      </c>
      <c r="AJ97" s="4" t="e">
        <f t="shared" ref="AJ97:AJ110" si="111">AH97/$AD$94</f>
        <v>#NUM!</v>
      </c>
      <c r="AK97" s="3" t="e">
        <f t="shared" ref="AK97:AK110" si="112">0.06/$AD$94/$AD$94*AH97*AH97-0.23/$AD$94*AH97+1.36-0.375*AC97/$AD$94</f>
        <v>#NUM!</v>
      </c>
      <c r="AL97" s="4" t="e">
        <f t="shared" si="103"/>
        <v>#NUM!</v>
      </c>
      <c r="AM97" s="4" t="e">
        <f t="shared" si="104"/>
        <v>#NUM!</v>
      </c>
      <c r="AN97" s="4" t="e">
        <f t="shared" si="105"/>
        <v>#NUM!</v>
      </c>
      <c r="AO97" s="3" t="e">
        <f t="shared" si="106"/>
        <v>#NUM!</v>
      </c>
      <c r="AP97" s="4">
        <f t="shared" ref="AP97:AP110" si="113">$AD$94/AC97</f>
        <v>1</v>
      </c>
    </row>
    <row r="98" spans="1:42" s="36" customFormat="1" x14ac:dyDescent="0.25">
      <c r="M98" s="3"/>
      <c r="N98" s="3"/>
      <c r="O98" s="23"/>
      <c r="P98" s="23"/>
      <c r="Q98" s="23"/>
      <c r="R98" s="23"/>
      <c r="S98" s="23"/>
      <c r="T98" s="23"/>
      <c r="U98" s="23"/>
      <c r="V98" s="23"/>
      <c r="W98" s="23"/>
      <c r="X98" s="23"/>
      <c r="Y98" s="23"/>
      <c r="Z98" s="23"/>
      <c r="AA98" s="22"/>
      <c r="AB98" s="3"/>
      <c r="AC98" s="22">
        <v>3</v>
      </c>
      <c r="AD98" s="4">
        <f t="shared" si="107"/>
        <v>2.6666666666666668E-2</v>
      </c>
      <c r="AE98" s="4">
        <f t="shared" si="108"/>
        <v>-0.15333333333333335</v>
      </c>
      <c r="AF98" s="4">
        <f t="shared" si="109"/>
        <v>0.6100000000000001</v>
      </c>
      <c r="AG98" s="4">
        <f t="shared" si="110"/>
        <v>-4.1555555555555561E-2</v>
      </c>
      <c r="AH98" s="4" t="e">
        <f>(-AE98+SQRT(AG98))/2/AD98</f>
        <v>#NUM!</v>
      </c>
      <c r="AI98" s="4" t="e">
        <f>AH98/AC98</f>
        <v>#NUM!</v>
      </c>
      <c r="AJ98" s="4" t="e">
        <f t="shared" si="111"/>
        <v>#NUM!</v>
      </c>
      <c r="AK98" s="3" t="e">
        <f t="shared" si="112"/>
        <v>#NUM!</v>
      </c>
      <c r="AL98" s="4" t="e">
        <f>(-AE98-SQRT(AG98))/2/AD98</f>
        <v>#NUM!</v>
      </c>
      <c r="AM98" s="4" t="e">
        <f>AL98/AC98</f>
        <v>#NUM!</v>
      </c>
      <c r="AN98" s="4" t="e">
        <f t="shared" si="105"/>
        <v>#NUM!</v>
      </c>
      <c r="AO98" s="3" t="e">
        <f t="shared" si="106"/>
        <v>#NUM!</v>
      </c>
      <c r="AP98" s="4">
        <f t="shared" si="113"/>
        <v>0.5</v>
      </c>
    </row>
    <row r="99" spans="1:42" s="36" customFormat="1" x14ac:dyDescent="0.25">
      <c r="M99" s="3"/>
      <c r="N99" s="3"/>
      <c r="O99" s="23"/>
      <c r="P99" s="23"/>
      <c r="Q99" s="23"/>
      <c r="R99" s="23"/>
      <c r="S99" s="23"/>
      <c r="T99" s="23"/>
      <c r="U99" s="23"/>
      <c r="V99" s="23"/>
      <c r="W99" s="23"/>
      <c r="X99" s="23"/>
      <c r="Y99" s="23"/>
      <c r="Z99" s="23"/>
      <c r="AA99" s="22"/>
      <c r="AB99" s="3"/>
      <c r="AC99" s="22">
        <v>4</v>
      </c>
      <c r="AD99" s="4">
        <f t="shared" si="107"/>
        <v>2.6666666666666668E-2</v>
      </c>
      <c r="AE99" s="4">
        <f t="shared" si="108"/>
        <v>-0.15333333333333335</v>
      </c>
      <c r="AF99" s="4">
        <f t="shared" si="109"/>
        <v>0.3600000000000001</v>
      </c>
      <c r="AG99" s="4">
        <f t="shared" si="110"/>
        <v>-1.4888888888888896E-2</v>
      </c>
      <c r="AH99" s="4" t="e">
        <f t="shared" ref="AH99:AH110" si="114">(-AE99+SQRT(AG99))/2/AD99</f>
        <v>#NUM!</v>
      </c>
      <c r="AI99" s="4" t="e">
        <f t="shared" ref="AI99:AI110" si="115">AH99/AC99</f>
        <v>#NUM!</v>
      </c>
      <c r="AJ99" s="4" t="e">
        <f t="shared" si="111"/>
        <v>#NUM!</v>
      </c>
      <c r="AK99" s="3" t="e">
        <f t="shared" si="112"/>
        <v>#NUM!</v>
      </c>
      <c r="AL99" s="4" t="e">
        <f t="shared" ref="AL99:AL106" si="116">(-AE99-SQRT(AG99))/2/AD99</f>
        <v>#NUM!</v>
      </c>
      <c r="AM99" s="4" t="e">
        <f t="shared" ref="AM99:AM106" si="117">AL99/AC99</f>
        <v>#NUM!</v>
      </c>
      <c r="AN99" s="4" t="e">
        <f t="shared" si="105"/>
        <v>#NUM!</v>
      </c>
      <c r="AO99" s="3" t="e">
        <f t="shared" si="106"/>
        <v>#NUM!</v>
      </c>
      <c r="AP99" s="4">
        <f t="shared" si="113"/>
        <v>0.375</v>
      </c>
    </row>
    <row r="100" spans="1:42" s="36" customFormat="1" x14ac:dyDescent="0.25">
      <c r="M100" s="3"/>
      <c r="N100" s="3"/>
      <c r="O100" s="23"/>
      <c r="P100" s="23"/>
      <c r="Q100" s="23"/>
      <c r="R100" s="23"/>
      <c r="S100" s="23"/>
      <c r="T100" s="23"/>
      <c r="U100" s="23"/>
      <c r="V100" s="23"/>
      <c r="W100" s="23"/>
      <c r="X100" s="23"/>
      <c r="Y100" s="23"/>
      <c r="Z100" s="23"/>
      <c r="AA100" s="22"/>
      <c r="AB100" s="3"/>
      <c r="AC100" s="22">
        <v>5.5</v>
      </c>
      <c r="AD100" s="4">
        <f t="shared" si="107"/>
        <v>2.6666666666666668E-2</v>
      </c>
      <c r="AE100" s="4">
        <f t="shared" si="108"/>
        <v>-0.15333333333333335</v>
      </c>
      <c r="AF100" s="4">
        <f t="shared" si="109"/>
        <v>-1.4999999999999902E-2</v>
      </c>
      <c r="AG100" s="4">
        <f t="shared" si="110"/>
        <v>2.5111111111111105E-2</v>
      </c>
      <c r="AH100" s="4">
        <f t="shared" si="114"/>
        <v>5.8462160810011783</v>
      </c>
      <c r="AI100" s="4">
        <f t="shared" si="115"/>
        <v>1.0629483783638507</v>
      </c>
      <c r="AJ100" s="4">
        <f t="shared" si="111"/>
        <v>3.8974773873341189</v>
      </c>
      <c r="AK100" s="3">
        <f t="shared" si="112"/>
        <v>0</v>
      </c>
      <c r="AL100" s="4">
        <f t="shared" si="116"/>
        <v>-9.621608100117765E-2</v>
      </c>
      <c r="AM100" s="4">
        <f t="shared" si="117"/>
        <v>-1.7493832909305028E-2</v>
      </c>
      <c r="AN100" s="4">
        <f t="shared" si="105"/>
        <v>-6.41440540007851E-2</v>
      </c>
      <c r="AO100" s="3">
        <f t="shared" si="106"/>
        <v>0</v>
      </c>
      <c r="AP100" s="4">
        <f t="shared" si="113"/>
        <v>0.27272727272727271</v>
      </c>
    </row>
    <row r="101" spans="1:42" x14ac:dyDescent="0.25">
      <c r="A101" s="1" t="s">
        <v>144</v>
      </c>
      <c r="B101" s="2">
        <v>0.25</v>
      </c>
      <c r="D101" s="1" t="s">
        <v>145</v>
      </c>
      <c r="E101" s="2">
        <v>0.5</v>
      </c>
      <c r="F101" s="4"/>
      <c r="H101" s="1" t="s">
        <v>144</v>
      </c>
      <c r="I101" s="2">
        <v>1</v>
      </c>
      <c r="J101" s="4"/>
      <c r="K101" s="1" t="s">
        <v>144</v>
      </c>
      <c r="L101" s="2">
        <v>1.5</v>
      </c>
      <c r="M101" s="4"/>
      <c r="O101" s="56" t="s">
        <v>144</v>
      </c>
      <c r="P101" s="57">
        <v>0.25</v>
      </c>
      <c r="Q101" s="23"/>
      <c r="R101" s="56" t="s">
        <v>145</v>
      </c>
      <c r="S101" s="57">
        <v>0.5</v>
      </c>
      <c r="T101" s="11"/>
      <c r="U101" s="23"/>
      <c r="V101" s="56" t="s">
        <v>144</v>
      </c>
      <c r="W101" s="57">
        <v>1</v>
      </c>
      <c r="X101" s="11"/>
      <c r="Y101" s="56" t="s">
        <v>144</v>
      </c>
      <c r="Z101" s="57">
        <v>1.5</v>
      </c>
      <c r="AA101" s="11"/>
      <c r="AB101" s="3"/>
      <c r="AC101" s="22">
        <v>6</v>
      </c>
      <c r="AD101" s="4">
        <f t="shared" si="107"/>
        <v>2.6666666666666668E-2</v>
      </c>
      <c r="AE101" s="4">
        <f t="shared" si="108"/>
        <v>-0.15333333333333335</v>
      </c>
      <c r="AF101" s="4">
        <f t="shared" si="109"/>
        <v>-0.1399999999999999</v>
      </c>
      <c r="AG101" s="4">
        <f t="shared" si="110"/>
        <v>3.8444444444444441E-2</v>
      </c>
      <c r="AH101" s="4">
        <f t="shared" si="114"/>
        <v>6.551360292463186</v>
      </c>
      <c r="AI101" s="4">
        <f t="shared" si="115"/>
        <v>1.0918933820771977</v>
      </c>
      <c r="AJ101" s="4">
        <f t="shared" si="111"/>
        <v>4.3675735283087906</v>
      </c>
      <c r="AK101" s="3">
        <f t="shared" si="112"/>
        <v>0</v>
      </c>
      <c r="AL101" s="4">
        <f t="shared" si="116"/>
        <v>-0.80136029246318496</v>
      </c>
      <c r="AM101" s="4">
        <f t="shared" si="117"/>
        <v>-0.13356004874386415</v>
      </c>
      <c r="AN101" s="4">
        <f t="shared" si="105"/>
        <v>-0.53424019497545661</v>
      </c>
      <c r="AO101" s="3">
        <f t="shared" si="106"/>
        <v>0</v>
      </c>
      <c r="AP101" s="4">
        <f t="shared" si="113"/>
        <v>0.25</v>
      </c>
    </row>
    <row r="102" spans="1:42" x14ac:dyDescent="0.25">
      <c r="A102" s="3" t="s">
        <v>143</v>
      </c>
      <c r="B102" s="3" t="s">
        <v>8</v>
      </c>
      <c r="C102" s="3" t="s">
        <v>96</v>
      </c>
      <c r="D102" s="3" t="s">
        <v>143</v>
      </c>
      <c r="E102" s="3" t="s">
        <v>8</v>
      </c>
      <c r="F102" s="3" t="s">
        <v>96</v>
      </c>
      <c r="H102" s="3" t="s">
        <v>143</v>
      </c>
      <c r="I102" s="3" t="s">
        <v>8</v>
      </c>
      <c r="J102" s="4" t="s">
        <v>96</v>
      </c>
      <c r="K102" s="3" t="s">
        <v>143</v>
      </c>
      <c r="L102" s="3" t="s">
        <v>8</v>
      </c>
      <c r="M102" s="4" t="s">
        <v>96</v>
      </c>
      <c r="O102" s="22" t="s">
        <v>143</v>
      </c>
      <c r="P102" s="22" t="s">
        <v>8</v>
      </c>
      <c r="Q102" s="22" t="s">
        <v>96</v>
      </c>
      <c r="R102" s="22" t="s">
        <v>143</v>
      </c>
      <c r="S102" s="22" t="s">
        <v>8</v>
      </c>
      <c r="T102" s="22" t="s">
        <v>96</v>
      </c>
      <c r="U102" s="23"/>
      <c r="V102" s="22" t="s">
        <v>143</v>
      </c>
      <c r="W102" s="22" t="s">
        <v>8</v>
      </c>
      <c r="X102" s="11" t="s">
        <v>96</v>
      </c>
      <c r="Y102" s="22" t="s">
        <v>143</v>
      </c>
      <c r="Z102" s="22" t="s">
        <v>8</v>
      </c>
      <c r="AA102" s="11" t="s">
        <v>96</v>
      </c>
      <c r="AB102" s="3"/>
      <c r="AC102" s="22">
        <v>7</v>
      </c>
      <c r="AD102" s="4">
        <f t="shared" si="107"/>
        <v>2.6666666666666668E-2</v>
      </c>
      <c r="AE102" s="4">
        <f t="shared" si="108"/>
        <v>-0.15333333333333335</v>
      </c>
      <c r="AF102" s="4">
        <f t="shared" si="109"/>
        <v>-0.3899999999999999</v>
      </c>
      <c r="AG102" s="4">
        <f t="shared" si="110"/>
        <v>6.5111111111111106E-2</v>
      </c>
      <c r="AH102" s="4">
        <f t="shared" si="114"/>
        <v>7.6594148022511588</v>
      </c>
      <c r="AI102" s="4">
        <f t="shared" si="115"/>
        <v>1.0942021146073084</v>
      </c>
      <c r="AJ102" s="4">
        <f t="shared" si="111"/>
        <v>5.1062765348341062</v>
      </c>
      <c r="AK102" s="3">
        <f t="shared" si="112"/>
        <v>0</v>
      </c>
      <c r="AL102" s="4">
        <f t="shared" si="116"/>
        <v>-1.9094148022511588</v>
      </c>
      <c r="AM102" s="4">
        <f t="shared" si="117"/>
        <v>-0.27277354317873698</v>
      </c>
      <c r="AN102" s="4">
        <f t="shared" si="105"/>
        <v>-1.2729432015007724</v>
      </c>
      <c r="AO102" s="3">
        <f t="shared" si="106"/>
        <v>0</v>
      </c>
      <c r="AP102" s="4">
        <f t="shared" si="113"/>
        <v>0.21428571428571427</v>
      </c>
    </row>
    <row r="103" spans="1:42" x14ac:dyDescent="0.25">
      <c r="A103" s="3">
        <v>1.5</v>
      </c>
      <c r="B103" s="4">
        <f>($E$39*$B$101/A103+$G$39)*A103</f>
        <v>-0.625</v>
      </c>
      <c r="C103" s="4">
        <f>$E$39*$B$101/A103+$G$39</f>
        <v>-0.41666666666666669</v>
      </c>
      <c r="D103" s="3">
        <v>1</v>
      </c>
      <c r="E103" s="7"/>
      <c r="F103" s="8"/>
      <c r="H103" s="3">
        <v>1</v>
      </c>
      <c r="I103" s="7"/>
      <c r="J103" s="8"/>
      <c r="K103" s="3">
        <v>1</v>
      </c>
      <c r="L103" s="7"/>
      <c r="M103" s="8"/>
      <c r="O103" s="22">
        <v>1</v>
      </c>
      <c r="P103" s="11">
        <f>($S$39*$P$101/O103+$U$39)*O103</f>
        <v>-0.13749999999999996</v>
      </c>
      <c r="Q103" s="11">
        <f>$S$39*$P$101/O103+$U$39</f>
        <v>-0.13749999999999996</v>
      </c>
      <c r="R103" s="22">
        <v>1</v>
      </c>
      <c r="S103" s="22">
        <f>($S$39*$S$101/R103+$U$39)*R103</f>
        <v>0.72500000000000009</v>
      </c>
      <c r="T103" s="11">
        <f>$S$39*$S$101/R103+$U$39</f>
        <v>0.72500000000000009</v>
      </c>
      <c r="U103" s="23"/>
      <c r="V103" s="22">
        <v>1</v>
      </c>
      <c r="W103" s="7"/>
      <c r="X103" s="8"/>
      <c r="Y103" s="22">
        <v>1</v>
      </c>
      <c r="Z103" s="7"/>
      <c r="AA103" s="8"/>
      <c r="AB103" s="3"/>
      <c r="AC103" s="22">
        <v>8</v>
      </c>
      <c r="AD103" s="4">
        <f t="shared" si="107"/>
        <v>2.6666666666666668E-2</v>
      </c>
      <c r="AE103" s="4">
        <f t="shared" si="108"/>
        <v>-0.15333333333333335</v>
      </c>
      <c r="AF103" s="4">
        <f t="shared" si="109"/>
        <v>-0.6399999999999999</v>
      </c>
      <c r="AG103" s="4">
        <f t="shared" si="110"/>
        <v>9.1777777777777764E-2</v>
      </c>
      <c r="AH103" s="4">
        <f t="shared" si="114"/>
        <v>8.5552838837508816</v>
      </c>
      <c r="AI103" s="4">
        <f t="shared" si="115"/>
        <v>1.0694104854688602</v>
      </c>
      <c r="AJ103" s="4">
        <f t="shared" si="111"/>
        <v>5.7035225891672541</v>
      </c>
      <c r="AK103" s="3">
        <f t="shared" si="112"/>
        <v>0</v>
      </c>
      <c r="AL103" s="4">
        <f t="shared" si="116"/>
        <v>-2.8052838837508811</v>
      </c>
      <c r="AM103" s="4">
        <f t="shared" si="117"/>
        <v>-0.35066048546886014</v>
      </c>
      <c r="AN103" s="4">
        <f t="shared" si="105"/>
        <v>-1.8701892558339208</v>
      </c>
      <c r="AO103" s="3">
        <f t="shared" si="106"/>
        <v>0</v>
      </c>
      <c r="AP103" s="4">
        <f t="shared" si="113"/>
        <v>0.1875</v>
      </c>
    </row>
    <row r="104" spans="1:42" s="36" customFormat="1" x14ac:dyDescent="0.25">
      <c r="A104" s="3">
        <v>2</v>
      </c>
      <c r="B104" s="4">
        <f>($E$39*$B$101/A104+$G$39)*A104</f>
        <v>-0.875</v>
      </c>
      <c r="C104" s="4">
        <f>$E$39*$B$101/A104+$G$39</f>
        <v>-0.4375</v>
      </c>
      <c r="D104" s="3">
        <v>2</v>
      </c>
      <c r="E104" s="7"/>
      <c r="F104" s="8"/>
      <c r="H104" s="3">
        <v>2</v>
      </c>
      <c r="I104" s="7"/>
      <c r="J104" s="8"/>
      <c r="K104" s="3">
        <v>2</v>
      </c>
      <c r="L104" s="7"/>
      <c r="M104" s="8"/>
      <c r="N104" s="3"/>
      <c r="O104" s="22">
        <v>1.5</v>
      </c>
      <c r="P104" s="11">
        <f>($S$39*$P$101/O104+$U$39)*O104</f>
        <v>-0.63749999999999996</v>
      </c>
      <c r="Q104" s="11">
        <f>$S$39*$P$101/O104+$U$39</f>
        <v>-0.42499999999999993</v>
      </c>
      <c r="R104" s="22">
        <v>2</v>
      </c>
      <c r="S104" s="22">
        <f>($S$39*$S$101/R104+$U$39)*R104</f>
        <v>-0.27499999999999991</v>
      </c>
      <c r="T104" s="11">
        <f>$S$39*$S$101/R104+$U$39</f>
        <v>-0.13749999999999996</v>
      </c>
      <c r="U104" s="23"/>
      <c r="V104" s="22">
        <v>2</v>
      </c>
      <c r="W104" s="22">
        <f>($S$39*$W$101/V104+$U$39)*V104</f>
        <v>1.4500000000000002</v>
      </c>
      <c r="X104" s="11">
        <f>$S$39*$W$101/V104+$U$39</f>
        <v>0.72500000000000009</v>
      </c>
      <c r="Y104" s="22">
        <v>2</v>
      </c>
      <c r="Z104" s="7"/>
      <c r="AA104" s="8"/>
      <c r="AB104" s="3"/>
      <c r="AC104" s="22">
        <v>9</v>
      </c>
      <c r="AD104" s="4">
        <f t="shared" si="107"/>
        <v>2.6666666666666668E-2</v>
      </c>
      <c r="AE104" s="4">
        <f t="shared" si="108"/>
        <v>-0.15333333333333335</v>
      </c>
      <c r="AF104" s="4">
        <f t="shared" si="109"/>
        <v>-0.8899999999999999</v>
      </c>
      <c r="AG104" s="4">
        <f t="shared" si="110"/>
        <v>0.11844444444444444</v>
      </c>
      <c r="AH104" s="4">
        <f t="shared" si="114"/>
        <v>9.3279547495701518</v>
      </c>
      <c r="AI104" s="4">
        <f t="shared" si="115"/>
        <v>1.0364394166189057</v>
      </c>
      <c r="AJ104" s="4">
        <f t="shared" si="111"/>
        <v>6.2186364997134342</v>
      </c>
      <c r="AK104" s="3">
        <f t="shared" si="112"/>
        <v>0</v>
      </c>
      <c r="AL104" s="4">
        <f t="shared" si="116"/>
        <v>-3.5779547495701531</v>
      </c>
      <c r="AM104" s="4">
        <f t="shared" si="117"/>
        <v>-0.39755052773001703</v>
      </c>
      <c r="AN104" s="4">
        <f t="shared" si="105"/>
        <v>-2.3853031663801021</v>
      </c>
      <c r="AO104" s="3">
        <f t="shared" si="106"/>
        <v>0</v>
      </c>
      <c r="AP104" s="4">
        <f t="shared" si="113"/>
        <v>0.16666666666666666</v>
      </c>
    </row>
    <row r="105" spans="1:42" s="36" customFormat="1" x14ac:dyDescent="0.25">
      <c r="A105" s="3">
        <v>3</v>
      </c>
      <c r="B105" s="4">
        <f>($E$39*$B$101/A105+$G$39)*A105</f>
        <v>-1.375</v>
      </c>
      <c r="C105" s="4">
        <f>$E$39*$B$101/A105+$G$39</f>
        <v>-0.45833333333333331</v>
      </c>
      <c r="D105" s="3">
        <v>3.1</v>
      </c>
      <c r="E105" s="3">
        <f t="shared" ref="E105:E111" si="118">($E$39*$E$101/D105+$G$39)*D105</f>
        <v>-1.3</v>
      </c>
      <c r="F105" s="4">
        <f t="shared" ref="F105:F111" si="119">$E$39*$E$101/D105+$G$39</f>
        <v>-0.41935483870967744</v>
      </c>
      <c r="H105" s="3">
        <v>3</v>
      </c>
      <c r="I105" s="7"/>
      <c r="J105" s="8"/>
      <c r="K105" s="3">
        <v>3</v>
      </c>
      <c r="L105" s="7"/>
      <c r="M105" s="8"/>
      <c r="N105" s="3"/>
      <c r="O105" s="22">
        <v>3</v>
      </c>
      <c r="P105" s="8">
        <f t="shared" ref="P105:P117" si="120">($S$39*$P$101/O105+$U$39)*O105</f>
        <v>-2.1374999999999997</v>
      </c>
      <c r="Q105" s="8">
        <f t="shared" ref="Q105:Q117" si="121">$S$39*$P$101/O105+$U$39</f>
        <v>-0.71249999999999991</v>
      </c>
      <c r="R105" s="22">
        <v>3.1</v>
      </c>
      <c r="S105" s="22">
        <f>($S$39*$S$101/R105+$U$39)*R105</f>
        <v>-1.3749999999999998</v>
      </c>
      <c r="T105" s="11">
        <f>$S$39*$S$101/R105+$U$39</f>
        <v>-0.44354838709677413</v>
      </c>
      <c r="U105" s="23"/>
      <c r="V105" s="22">
        <v>3</v>
      </c>
      <c r="W105" s="22">
        <f>($S$39*$W$101/V105+$U$39)*V105</f>
        <v>0.4500000000000004</v>
      </c>
      <c r="X105" s="11">
        <f>$S$39*$W$101/V105+$U$39</f>
        <v>0.15000000000000013</v>
      </c>
      <c r="Y105" s="22">
        <v>3</v>
      </c>
      <c r="Z105" s="22">
        <f t="shared" ref="Z105:Z112" si="122">($S$39*$Z$101/Y105+$U$39)*Y105</f>
        <v>2.1750000000000007</v>
      </c>
      <c r="AA105" s="11">
        <f t="shared" ref="AA105:AA112" si="123">$S$39*$Z$101/Y105+$U$39</f>
        <v>0.72500000000000031</v>
      </c>
      <c r="AB105" s="3"/>
      <c r="AC105" s="22">
        <v>10</v>
      </c>
      <c r="AD105" s="4">
        <f t="shared" si="107"/>
        <v>2.6666666666666668E-2</v>
      </c>
      <c r="AE105" s="4">
        <f t="shared" si="108"/>
        <v>-0.15333333333333335</v>
      </c>
      <c r="AF105" s="4">
        <f t="shared" si="109"/>
        <v>-1.1399999999999999</v>
      </c>
      <c r="AG105" s="4">
        <f t="shared" si="110"/>
        <v>0.14511111111111111</v>
      </c>
      <c r="AH105" s="4">
        <f t="shared" si="114"/>
        <v>10.017522313580827</v>
      </c>
      <c r="AI105" s="4">
        <f t="shared" si="115"/>
        <v>1.0017522313580827</v>
      </c>
      <c r="AJ105" s="4">
        <f t="shared" si="111"/>
        <v>6.6783482090538842</v>
      </c>
      <c r="AK105" s="3">
        <f t="shared" si="112"/>
        <v>0</v>
      </c>
      <c r="AL105" s="4">
        <f t="shared" si="116"/>
        <v>-4.2675223135808258</v>
      </c>
      <c r="AM105" s="4">
        <f t="shared" si="117"/>
        <v>-0.4267522313580826</v>
      </c>
      <c r="AN105" s="4">
        <f t="shared" si="105"/>
        <v>-2.8450148757205507</v>
      </c>
      <c r="AO105" s="3">
        <f t="shared" si="106"/>
        <v>0</v>
      </c>
      <c r="AP105" s="4">
        <f t="shared" si="113"/>
        <v>0.15</v>
      </c>
    </row>
    <row r="106" spans="1:42" x14ac:dyDescent="0.25">
      <c r="A106" s="3">
        <v>4</v>
      </c>
      <c r="B106" s="4">
        <f>($E$39*$B$101/A106+$G$39)*A106</f>
        <v>-1.875</v>
      </c>
      <c r="C106" s="4">
        <f>$E$39*$B$101/A106+$G$39</f>
        <v>-0.46875</v>
      </c>
      <c r="D106" s="3">
        <v>4</v>
      </c>
      <c r="E106" s="3">
        <f t="shared" si="118"/>
        <v>-1.75</v>
      </c>
      <c r="F106" s="4">
        <f t="shared" si="119"/>
        <v>-0.4375</v>
      </c>
      <c r="H106" s="3">
        <v>4</v>
      </c>
      <c r="I106" s="7"/>
      <c r="J106" s="8"/>
      <c r="K106" s="3">
        <v>4</v>
      </c>
      <c r="L106" s="7"/>
      <c r="M106" s="8"/>
      <c r="O106" s="22">
        <v>4</v>
      </c>
      <c r="P106" s="8">
        <f t="shared" si="120"/>
        <v>-3.1375000000000002</v>
      </c>
      <c r="Q106" s="8">
        <f t="shared" si="121"/>
        <v>-0.78437500000000004</v>
      </c>
      <c r="R106" s="22">
        <v>4</v>
      </c>
      <c r="S106" s="7">
        <f t="shared" ref="S106:S117" si="124">($S$39*$S$101/R106+$U$39)*R106</f>
        <v>-2.2749999999999999</v>
      </c>
      <c r="T106" s="8">
        <f t="shared" ref="T106:T117" si="125">$S$39*$S$101/R106+$U$39</f>
        <v>-0.56874999999999998</v>
      </c>
      <c r="U106" s="23"/>
      <c r="V106" s="22">
        <v>4</v>
      </c>
      <c r="W106" s="22">
        <f>($S$39*$W$101/V106+$U$39)*V106</f>
        <v>-0.54999999999999982</v>
      </c>
      <c r="X106" s="11">
        <f>$S$39*$W$101/V106+$U$39</f>
        <v>-0.13749999999999996</v>
      </c>
      <c r="Y106" s="22">
        <v>4</v>
      </c>
      <c r="Z106" s="22">
        <f t="shared" si="122"/>
        <v>1.1750000000000007</v>
      </c>
      <c r="AA106" s="11">
        <f t="shared" si="123"/>
        <v>0.29375000000000018</v>
      </c>
      <c r="AB106" s="3"/>
      <c r="AC106" s="22">
        <v>11</v>
      </c>
      <c r="AD106" s="4">
        <f t="shared" si="107"/>
        <v>2.6666666666666668E-2</v>
      </c>
      <c r="AE106" s="4">
        <f t="shared" si="108"/>
        <v>-0.15333333333333335</v>
      </c>
      <c r="AF106" s="4">
        <f t="shared" si="109"/>
        <v>-1.39</v>
      </c>
      <c r="AG106" s="4">
        <f t="shared" si="110"/>
        <v>0.17177777777777778</v>
      </c>
      <c r="AH106" s="4">
        <f t="shared" si="114"/>
        <v>10.646140521184778</v>
      </c>
      <c r="AI106" s="4">
        <f t="shared" si="115"/>
        <v>0.96783095647134343</v>
      </c>
      <c r="AJ106" s="4">
        <f t="shared" si="111"/>
        <v>7.097427014123185</v>
      </c>
      <c r="AK106" s="3">
        <f t="shared" si="112"/>
        <v>0</v>
      </c>
      <c r="AL106" s="11">
        <f t="shared" si="116"/>
        <v>-4.8961405211847762</v>
      </c>
      <c r="AM106" s="11">
        <f t="shared" si="117"/>
        <v>-0.44510368374407056</v>
      </c>
      <c r="AN106" s="11">
        <f t="shared" si="105"/>
        <v>-3.2640936807898506</v>
      </c>
      <c r="AO106" s="22">
        <f t="shared" si="106"/>
        <v>0</v>
      </c>
      <c r="AP106" s="4">
        <f t="shared" si="113"/>
        <v>0.13636363636363635</v>
      </c>
    </row>
    <row r="107" spans="1:42" s="36" customFormat="1" x14ac:dyDescent="0.25">
      <c r="A107" s="3">
        <v>5</v>
      </c>
      <c r="B107" s="4">
        <f>($E$39*$B$101/A107+$G$39)*A107</f>
        <v>-2.375</v>
      </c>
      <c r="C107" s="4">
        <f>$E$39*$B$101/A107+$G$39</f>
        <v>-0.47499999999999998</v>
      </c>
      <c r="D107" s="3">
        <v>5</v>
      </c>
      <c r="E107" s="3">
        <f t="shared" si="118"/>
        <v>-2.25</v>
      </c>
      <c r="F107" s="4">
        <f t="shared" si="119"/>
        <v>-0.45</v>
      </c>
      <c r="H107" s="3">
        <v>5</v>
      </c>
      <c r="I107" s="7"/>
      <c r="J107" s="8"/>
      <c r="K107" s="3">
        <v>5</v>
      </c>
      <c r="L107" s="7"/>
      <c r="M107" s="8"/>
      <c r="N107" s="3"/>
      <c r="O107" s="22">
        <v>5</v>
      </c>
      <c r="P107" s="8">
        <f t="shared" si="120"/>
        <v>-4.1375000000000002</v>
      </c>
      <c r="Q107" s="8">
        <f t="shared" si="121"/>
        <v>-0.82750000000000001</v>
      </c>
      <c r="R107" s="22">
        <v>5</v>
      </c>
      <c r="S107" s="7">
        <f t="shared" si="124"/>
        <v>-3.2750000000000004</v>
      </c>
      <c r="T107" s="8">
        <f t="shared" si="125"/>
        <v>-0.65500000000000003</v>
      </c>
      <c r="U107" s="23"/>
      <c r="V107" s="22">
        <v>5</v>
      </c>
      <c r="W107" s="22">
        <f>($S$39*$W$101/V107+$U$39)*V107</f>
        <v>-1.5499999999999998</v>
      </c>
      <c r="X107" s="11">
        <f>$S$39*$W$101/V107+$U$39</f>
        <v>-0.30999999999999994</v>
      </c>
      <c r="Y107" s="22">
        <v>5</v>
      </c>
      <c r="Z107" s="22">
        <f t="shared" si="122"/>
        <v>0.17500000000000071</v>
      </c>
      <c r="AA107" s="11">
        <f t="shared" si="123"/>
        <v>3.5000000000000142E-2</v>
      </c>
      <c r="AB107" s="3"/>
      <c r="AC107" s="22">
        <v>12</v>
      </c>
      <c r="AD107" s="4">
        <f t="shared" si="107"/>
        <v>2.6666666666666668E-2</v>
      </c>
      <c r="AE107" s="4">
        <f t="shared" si="108"/>
        <v>-0.15333333333333335</v>
      </c>
      <c r="AF107" s="4">
        <f t="shared" si="109"/>
        <v>-1.64</v>
      </c>
      <c r="AG107" s="4">
        <f t="shared" si="110"/>
        <v>0.19844444444444445</v>
      </c>
      <c r="AH107" s="4">
        <f t="shared" si="114"/>
        <v>11.227581936144057</v>
      </c>
      <c r="AI107" s="4">
        <f t="shared" si="115"/>
        <v>0.93563182801200473</v>
      </c>
      <c r="AJ107" s="4">
        <f t="shared" si="111"/>
        <v>7.4850546240960378</v>
      </c>
      <c r="AK107" s="3">
        <f t="shared" si="112"/>
        <v>0</v>
      </c>
      <c r="AL107" s="8">
        <f t="shared" ref="AL107:AL110" si="126">(-AE107-SQRT(AG107))/2/AD107</f>
        <v>-5.4775819361440572</v>
      </c>
      <c r="AM107" s="8">
        <f t="shared" ref="AM107:AM110" si="127">AL107/AC107</f>
        <v>-0.4564651613453381</v>
      </c>
      <c r="AN107" s="8">
        <f t="shared" ref="AN107:AN110" si="128">AL107/$AD$94</f>
        <v>-3.6517212907627048</v>
      </c>
      <c r="AO107" s="7">
        <f t="shared" ref="AO107:AO110" si="129">0.06/$AD$94/$AD$94*AL107*AL107-0.23/$AD$94*AL107+1.36-0.375*AC107/$AD$94</f>
        <v>0</v>
      </c>
      <c r="AP107" s="4">
        <f t="shared" si="113"/>
        <v>0.125</v>
      </c>
    </row>
    <row r="108" spans="1:42" s="36" customFormat="1" x14ac:dyDescent="0.25">
      <c r="A108" s="3">
        <v>6</v>
      </c>
      <c r="B108" s="8"/>
      <c r="C108" s="8"/>
      <c r="D108" s="3">
        <v>6</v>
      </c>
      <c r="E108" s="3">
        <f t="shared" si="118"/>
        <v>-2.75</v>
      </c>
      <c r="F108" s="4">
        <f t="shared" si="119"/>
        <v>-0.45833333333333331</v>
      </c>
      <c r="H108" s="3">
        <v>6.2</v>
      </c>
      <c r="I108" s="3">
        <f t="shared" ref="I108:I117" si="130">($E$39*$I$101/H108+$G$39)*H108</f>
        <v>-2.6</v>
      </c>
      <c r="J108" s="4">
        <f t="shared" ref="J108:J117" si="131">$E$39*$I$101/H108+$G$39</f>
        <v>-0.41935483870967744</v>
      </c>
      <c r="K108" s="3">
        <v>6</v>
      </c>
      <c r="L108" s="7"/>
      <c r="M108" s="8"/>
      <c r="N108" s="3"/>
      <c r="O108" s="22">
        <v>6</v>
      </c>
      <c r="P108" s="8">
        <f t="shared" si="120"/>
        <v>-5.1374999999999993</v>
      </c>
      <c r="Q108" s="8">
        <f t="shared" si="121"/>
        <v>-0.85624999999999996</v>
      </c>
      <c r="R108" s="22">
        <v>6</v>
      </c>
      <c r="S108" s="7">
        <f t="shared" si="124"/>
        <v>-4.2749999999999995</v>
      </c>
      <c r="T108" s="8">
        <f t="shared" si="125"/>
        <v>-0.71249999999999991</v>
      </c>
      <c r="U108" s="23"/>
      <c r="V108" s="22">
        <v>6.2</v>
      </c>
      <c r="W108" s="22">
        <f>($S$39*$W$101/V108+$U$39)*V108</f>
        <v>-2.7499999999999996</v>
      </c>
      <c r="X108" s="11">
        <f>$S$39*$W$101/V108+$U$39</f>
        <v>-0.44354838709677413</v>
      </c>
      <c r="Y108" s="22">
        <v>6</v>
      </c>
      <c r="Z108" s="22">
        <f t="shared" si="122"/>
        <v>-0.82499999999999907</v>
      </c>
      <c r="AA108" s="11">
        <f t="shared" si="123"/>
        <v>-0.13749999999999984</v>
      </c>
      <c r="AB108" s="3"/>
      <c r="AC108" s="22">
        <v>13</v>
      </c>
      <c r="AD108" s="4">
        <f t="shared" si="107"/>
        <v>2.6666666666666668E-2</v>
      </c>
      <c r="AE108" s="4">
        <f t="shared" si="108"/>
        <v>-0.15333333333333335</v>
      </c>
      <c r="AF108" s="4">
        <f t="shared" si="109"/>
        <v>-1.89</v>
      </c>
      <c r="AG108" s="4">
        <f t="shared" si="110"/>
        <v>0.22511111111111112</v>
      </c>
      <c r="AH108" s="4">
        <f t="shared" si="114"/>
        <v>11.771101674329042</v>
      </c>
      <c r="AI108" s="4">
        <f t="shared" si="115"/>
        <v>0.9054693595637725</v>
      </c>
      <c r="AJ108" s="4">
        <f t="shared" si="111"/>
        <v>7.8474011162193618</v>
      </c>
      <c r="AK108" s="3">
        <f t="shared" si="112"/>
        <v>0</v>
      </c>
      <c r="AL108" s="8">
        <f t="shared" si="126"/>
        <v>-6.0211016743290422</v>
      </c>
      <c r="AM108" s="8">
        <f t="shared" si="127"/>
        <v>-0.46316166725608016</v>
      </c>
      <c r="AN108" s="8">
        <f t="shared" si="128"/>
        <v>-4.0140677828860278</v>
      </c>
      <c r="AO108" s="7">
        <f t="shared" si="129"/>
        <v>0</v>
      </c>
      <c r="AP108" s="4">
        <f t="shared" si="113"/>
        <v>0.11538461538461539</v>
      </c>
    </row>
    <row r="109" spans="1:42" x14ac:dyDescent="0.25">
      <c r="A109" s="3">
        <v>7</v>
      </c>
      <c r="B109" s="8"/>
      <c r="C109" s="8"/>
      <c r="D109" s="3">
        <v>7</v>
      </c>
      <c r="E109" s="3">
        <f t="shared" si="118"/>
        <v>-3.25</v>
      </c>
      <c r="F109" s="4">
        <f t="shared" si="119"/>
        <v>-0.4642857142857143</v>
      </c>
      <c r="H109" s="3">
        <v>7</v>
      </c>
      <c r="I109" s="3">
        <f t="shared" si="130"/>
        <v>-3</v>
      </c>
      <c r="J109" s="4">
        <f t="shared" si="131"/>
        <v>-0.4285714285714286</v>
      </c>
      <c r="K109" s="3">
        <v>7</v>
      </c>
      <c r="L109" s="7"/>
      <c r="M109" s="8"/>
      <c r="O109" s="22">
        <v>7</v>
      </c>
      <c r="P109" s="8">
        <f t="shared" si="120"/>
        <v>-6.1375000000000002</v>
      </c>
      <c r="Q109" s="8">
        <f t="shared" si="121"/>
        <v>-0.87678571428571428</v>
      </c>
      <c r="R109" s="22">
        <v>7</v>
      </c>
      <c r="S109" s="7">
        <f t="shared" si="124"/>
        <v>-5.2750000000000004</v>
      </c>
      <c r="T109" s="8">
        <f t="shared" si="125"/>
        <v>-0.75357142857142856</v>
      </c>
      <c r="U109" s="23"/>
      <c r="V109" s="22">
        <v>7</v>
      </c>
      <c r="W109" s="7">
        <f t="shared" ref="W109:W117" si="132">($S$39*$W$101/V109+$U$39)*V109</f>
        <v>-3.55</v>
      </c>
      <c r="X109" s="8">
        <f t="shared" ref="X109:X117" si="133">$S$39*$W$101/V109+$U$39</f>
        <v>-0.50714285714285712</v>
      </c>
      <c r="Y109" s="22">
        <v>7</v>
      </c>
      <c r="Z109" s="22">
        <f t="shared" si="122"/>
        <v>-1.8249999999999988</v>
      </c>
      <c r="AA109" s="11">
        <f t="shared" si="123"/>
        <v>-0.26071428571428557</v>
      </c>
      <c r="AB109" s="3"/>
      <c r="AC109" s="22">
        <v>14</v>
      </c>
      <c r="AD109" s="4">
        <f t="shared" si="107"/>
        <v>2.6666666666666668E-2</v>
      </c>
      <c r="AE109" s="4">
        <f t="shared" si="108"/>
        <v>-0.15333333333333335</v>
      </c>
      <c r="AF109" s="4">
        <f t="shared" si="109"/>
        <v>-2.1399999999999997</v>
      </c>
      <c r="AG109" s="4">
        <f t="shared" si="110"/>
        <v>0.25177777777777777</v>
      </c>
      <c r="AH109" s="4">
        <f t="shared" si="114"/>
        <v>12.283274283841854</v>
      </c>
      <c r="AI109" s="4">
        <f t="shared" si="115"/>
        <v>0.87737673456013243</v>
      </c>
      <c r="AJ109" s="4">
        <f t="shared" si="111"/>
        <v>8.1888495225612363</v>
      </c>
      <c r="AK109" s="3">
        <f t="shared" si="112"/>
        <v>0</v>
      </c>
      <c r="AL109" s="8">
        <f t="shared" si="126"/>
        <v>-6.5332742838418554</v>
      </c>
      <c r="AM109" s="8">
        <f t="shared" si="127"/>
        <v>-0.46666244884584679</v>
      </c>
      <c r="AN109" s="8">
        <f t="shared" si="128"/>
        <v>-4.3555161892279033</v>
      </c>
      <c r="AO109" s="7">
        <f t="shared" si="129"/>
        <v>0</v>
      </c>
      <c r="AP109" s="4">
        <f t="shared" si="113"/>
        <v>0.10714285714285714</v>
      </c>
    </row>
    <row r="110" spans="1:42" s="36" customFormat="1" x14ac:dyDescent="0.25">
      <c r="A110" s="3">
        <v>8</v>
      </c>
      <c r="B110" s="8"/>
      <c r="C110" s="8"/>
      <c r="D110" s="3">
        <v>8</v>
      </c>
      <c r="E110" s="3">
        <f t="shared" si="118"/>
        <v>-3.75</v>
      </c>
      <c r="F110" s="4">
        <f t="shared" si="119"/>
        <v>-0.46875</v>
      </c>
      <c r="H110" s="3">
        <v>8</v>
      </c>
      <c r="I110" s="3">
        <f t="shared" si="130"/>
        <v>-3.5</v>
      </c>
      <c r="J110" s="4">
        <f t="shared" si="131"/>
        <v>-0.4375</v>
      </c>
      <c r="K110" s="3">
        <v>8</v>
      </c>
      <c r="L110" s="7"/>
      <c r="M110" s="8"/>
      <c r="N110" s="3"/>
      <c r="O110" s="22">
        <v>8</v>
      </c>
      <c r="P110" s="8">
        <f t="shared" si="120"/>
        <v>-7.1375000000000002</v>
      </c>
      <c r="Q110" s="8">
        <f t="shared" si="121"/>
        <v>-0.89218750000000002</v>
      </c>
      <c r="R110" s="22">
        <v>8</v>
      </c>
      <c r="S110" s="7">
        <f t="shared" si="124"/>
        <v>-6.2750000000000004</v>
      </c>
      <c r="T110" s="8">
        <f t="shared" si="125"/>
        <v>-0.78437500000000004</v>
      </c>
      <c r="U110" s="23"/>
      <c r="V110" s="22">
        <v>8</v>
      </c>
      <c r="W110" s="7">
        <f t="shared" si="132"/>
        <v>-4.55</v>
      </c>
      <c r="X110" s="8">
        <f t="shared" si="133"/>
        <v>-0.56874999999999998</v>
      </c>
      <c r="Y110" s="22">
        <v>8</v>
      </c>
      <c r="Z110" s="22">
        <f t="shared" si="122"/>
        <v>-2.8249999999999993</v>
      </c>
      <c r="AA110" s="11">
        <f t="shared" si="123"/>
        <v>-0.35312499999999991</v>
      </c>
      <c r="AB110" s="3"/>
      <c r="AC110" s="22">
        <v>15</v>
      </c>
      <c r="AD110" s="4">
        <f t="shared" si="107"/>
        <v>2.6666666666666668E-2</v>
      </c>
      <c r="AE110" s="4">
        <f t="shared" si="108"/>
        <v>-0.15333333333333335</v>
      </c>
      <c r="AF110" s="4">
        <f t="shared" si="109"/>
        <v>-2.3899999999999997</v>
      </c>
      <c r="AG110" s="4">
        <f t="shared" si="110"/>
        <v>0.27844444444444438</v>
      </c>
      <c r="AH110" s="4">
        <f t="shared" si="114"/>
        <v>12.768969122652443</v>
      </c>
      <c r="AI110" s="4">
        <f t="shared" si="115"/>
        <v>0.85126460817682958</v>
      </c>
      <c r="AJ110" s="4">
        <f t="shared" si="111"/>
        <v>8.5126460817682954</v>
      </c>
      <c r="AK110" s="3">
        <f t="shared" si="112"/>
        <v>0</v>
      </c>
      <c r="AL110" s="8">
        <f t="shared" si="126"/>
        <v>-7.0189691226524449</v>
      </c>
      <c r="AM110" s="8">
        <f t="shared" si="127"/>
        <v>-0.46793127484349634</v>
      </c>
      <c r="AN110" s="8">
        <f t="shared" si="128"/>
        <v>-4.6793127484349633</v>
      </c>
      <c r="AO110" s="7">
        <f t="shared" si="129"/>
        <v>0</v>
      </c>
      <c r="AP110" s="4">
        <f t="shared" si="113"/>
        <v>0.1</v>
      </c>
    </row>
    <row r="111" spans="1:42" s="36" customFormat="1" x14ac:dyDescent="0.25">
      <c r="A111" s="3">
        <v>9</v>
      </c>
      <c r="B111" s="8"/>
      <c r="C111" s="8"/>
      <c r="D111" s="3">
        <v>9</v>
      </c>
      <c r="E111" s="3">
        <f t="shared" si="118"/>
        <v>-4.25</v>
      </c>
      <c r="F111" s="4">
        <f t="shared" si="119"/>
        <v>-0.47222222222222221</v>
      </c>
      <c r="H111" s="3">
        <v>9</v>
      </c>
      <c r="I111" s="3">
        <f t="shared" si="130"/>
        <v>-4</v>
      </c>
      <c r="J111" s="4">
        <f t="shared" si="131"/>
        <v>-0.44444444444444442</v>
      </c>
      <c r="K111" s="3">
        <v>9</v>
      </c>
      <c r="L111" s="7"/>
      <c r="M111" s="8"/>
      <c r="N111" s="3"/>
      <c r="O111" s="22">
        <v>9</v>
      </c>
      <c r="P111" s="8">
        <f t="shared" si="120"/>
        <v>-8.1374999999999993</v>
      </c>
      <c r="Q111" s="8">
        <f t="shared" si="121"/>
        <v>-0.90416666666666667</v>
      </c>
      <c r="R111" s="22">
        <v>9</v>
      </c>
      <c r="S111" s="7">
        <f t="shared" si="124"/>
        <v>-7.2750000000000004</v>
      </c>
      <c r="T111" s="8">
        <f t="shared" si="125"/>
        <v>-0.80833333333333335</v>
      </c>
      <c r="U111" s="23"/>
      <c r="V111" s="22">
        <v>9</v>
      </c>
      <c r="W111" s="7">
        <f t="shared" si="132"/>
        <v>-5.5500000000000007</v>
      </c>
      <c r="X111" s="8">
        <f t="shared" si="133"/>
        <v>-0.6166666666666667</v>
      </c>
      <c r="Y111" s="22">
        <v>9</v>
      </c>
      <c r="Z111" s="22">
        <f t="shared" si="122"/>
        <v>-3.8249999999999993</v>
      </c>
      <c r="AA111" s="11">
        <f t="shared" si="123"/>
        <v>-0.42499999999999993</v>
      </c>
      <c r="AB111" s="3"/>
      <c r="AC111" s="22"/>
      <c r="AD111" s="11"/>
      <c r="AE111" s="11"/>
      <c r="AF111" s="22"/>
      <c r="AG111" s="22"/>
      <c r="AH111" s="11"/>
      <c r="AI111" s="23"/>
      <c r="AJ111" s="22"/>
      <c r="AK111" s="22"/>
      <c r="AL111" s="11"/>
      <c r="AM111" s="22"/>
      <c r="AN111" s="22"/>
      <c r="AO111" s="11"/>
      <c r="AP111" s="115"/>
    </row>
    <row r="112" spans="1:42" x14ac:dyDescent="0.25">
      <c r="A112" s="3">
        <v>10</v>
      </c>
      <c r="B112" s="8"/>
      <c r="C112" s="8"/>
      <c r="D112" s="3">
        <v>10</v>
      </c>
      <c r="E112" s="7"/>
      <c r="F112" s="8"/>
      <c r="H112" s="3">
        <v>10</v>
      </c>
      <c r="I112" s="3">
        <f t="shared" si="130"/>
        <v>-4.5</v>
      </c>
      <c r="J112" s="4">
        <f t="shared" si="131"/>
        <v>-0.45</v>
      </c>
      <c r="K112" s="3">
        <v>9.5</v>
      </c>
      <c r="L112" s="3">
        <f t="shared" ref="L112:L117" si="134">($E$39*$L$101/K112+$G$39)*K112</f>
        <v>-4</v>
      </c>
      <c r="M112" s="4">
        <f t="shared" ref="M112:M117" si="135">$E$39*$L$101/K112+$G$39</f>
        <v>-0.42105263157894735</v>
      </c>
      <c r="O112" s="22">
        <v>10</v>
      </c>
      <c r="P112" s="8">
        <f t="shared" si="120"/>
        <v>-9.1374999999999993</v>
      </c>
      <c r="Q112" s="8">
        <f t="shared" si="121"/>
        <v>-0.91374999999999995</v>
      </c>
      <c r="R112" s="22">
        <v>10</v>
      </c>
      <c r="S112" s="7">
        <f t="shared" si="124"/>
        <v>-8.2750000000000004</v>
      </c>
      <c r="T112" s="8">
        <f t="shared" si="125"/>
        <v>-0.82750000000000001</v>
      </c>
      <c r="U112" s="23"/>
      <c r="V112" s="22">
        <v>10</v>
      </c>
      <c r="W112" s="7">
        <f t="shared" si="132"/>
        <v>-6.5500000000000007</v>
      </c>
      <c r="X112" s="8">
        <f t="shared" si="133"/>
        <v>-0.65500000000000003</v>
      </c>
      <c r="Y112" s="22">
        <v>9.5</v>
      </c>
      <c r="Z112" s="22">
        <f t="shared" si="122"/>
        <v>-4.3249999999999993</v>
      </c>
      <c r="AA112" s="11">
        <f t="shared" si="123"/>
        <v>-0.45526315789473681</v>
      </c>
      <c r="AB112" s="3"/>
      <c r="AC112" s="22"/>
      <c r="AD112" s="11"/>
      <c r="AE112" s="11"/>
      <c r="AF112" s="22"/>
      <c r="AG112" s="22"/>
      <c r="AH112" s="11"/>
      <c r="AI112" s="23"/>
      <c r="AJ112" s="22"/>
      <c r="AK112" s="22"/>
      <c r="AL112" s="11"/>
      <c r="AM112" s="22"/>
      <c r="AN112" s="22"/>
      <c r="AO112" s="11"/>
    </row>
    <row r="113" spans="1:41" x14ac:dyDescent="0.25">
      <c r="A113" s="3">
        <v>11</v>
      </c>
      <c r="B113" s="8"/>
      <c r="C113" s="8"/>
      <c r="D113" s="3">
        <v>11</v>
      </c>
      <c r="E113" s="7"/>
      <c r="F113" s="8"/>
      <c r="G113" s="36"/>
      <c r="H113" s="3">
        <v>11</v>
      </c>
      <c r="I113" s="3">
        <f t="shared" si="130"/>
        <v>-5</v>
      </c>
      <c r="J113" s="4">
        <f t="shared" si="131"/>
        <v>-0.45454545454545453</v>
      </c>
      <c r="K113" s="3">
        <v>11</v>
      </c>
      <c r="L113" s="3">
        <f t="shared" si="134"/>
        <v>-4.75</v>
      </c>
      <c r="M113" s="4">
        <f t="shared" si="135"/>
        <v>-0.43181818181818182</v>
      </c>
      <c r="O113" s="22">
        <v>11</v>
      </c>
      <c r="P113" s="8">
        <f t="shared" si="120"/>
        <v>-10.137500000000001</v>
      </c>
      <c r="Q113" s="8">
        <f t="shared" si="121"/>
        <v>-0.92159090909090913</v>
      </c>
      <c r="R113" s="22">
        <v>11</v>
      </c>
      <c r="S113" s="7">
        <f t="shared" si="124"/>
        <v>-9.2750000000000004</v>
      </c>
      <c r="T113" s="8">
        <f t="shared" si="125"/>
        <v>-0.84318181818181814</v>
      </c>
      <c r="U113" s="23"/>
      <c r="V113" s="22">
        <v>11</v>
      </c>
      <c r="W113" s="7">
        <f t="shared" si="132"/>
        <v>-7.5499999999999989</v>
      </c>
      <c r="X113" s="8">
        <f t="shared" si="133"/>
        <v>-0.68636363636363629</v>
      </c>
      <c r="Y113" s="22">
        <v>11</v>
      </c>
      <c r="Z113" s="7">
        <f t="shared" ref="Z113:Z117" si="136">($S$39*$Z$101/Y113+$U$39)*Y113</f>
        <v>-5.8250000000000002</v>
      </c>
      <c r="AA113" s="8">
        <f t="shared" ref="AA113:AA117" si="137">$S$39*$Z$101/Y113+$U$39</f>
        <v>-0.52954545454545454</v>
      </c>
      <c r="AB113" s="3"/>
      <c r="AC113" s="22"/>
      <c r="AD113" s="11"/>
      <c r="AE113" s="11"/>
      <c r="AF113" s="22"/>
      <c r="AG113" s="22"/>
      <c r="AH113" s="11"/>
      <c r="AI113" s="23"/>
      <c r="AJ113" s="22"/>
      <c r="AK113" s="22"/>
      <c r="AL113" s="11"/>
      <c r="AM113" s="22"/>
      <c r="AN113" s="22"/>
      <c r="AO113" s="11"/>
    </row>
    <row r="114" spans="1:41" x14ac:dyDescent="0.25">
      <c r="A114" s="3">
        <v>12</v>
      </c>
      <c r="B114" s="8"/>
      <c r="C114" s="8"/>
      <c r="D114" s="3">
        <v>12</v>
      </c>
      <c r="E114" s="7"/>
      <c r="F114" s="8"/>
      <c r="G114" s="36"/>
      <c r="H114" s="3">
        <v>12</v>
      </c>
      <c r="I114" s="3">
        <f t="shared" si="130"/>
        <v>-5.5</v>
      </c>
      <c r="J114" s="4">
        <f t="shared" si="131"/>
        <v>-0.45833333333333331</v>
      </c>
      <c r="K114" s="3">
        <v>12</v>
      </c>
      <c r="L114" s="3">
        <f t="shared" si="134"/>
        <v>-5.25</v>
      </c>
      <c r="M114" s="4">
        <f t="shared" si="135"/>
        <v>-0.4375</v>
      </c>
      <c r="O114" s="22">
        <v>12</v>
      </c>
      <c r="P114" s="8">
        <f t="shared" si="120"/>
        <v>-11.137499999999999</v>
      </c>
      <c r="Q114" s="8">
        <f t="shared" si="121"/>
        <v>-0.92812499999999998</v>
      </c>
      <c r="R114" s="22">
        <v>12</v>
      </c>
      <c r="S114" s="7">
        <f t="shared" si="124"/>
        <v>-10.274999999999999</v>
      </c>
      <c r="T114" s="8">
        <f t="shared" si="125"/>
        <v>-0.85624999999999996</v>
      </c>
      <c r="U114" s="23"/>
      <c r="V114" s="22">
        <v>12</v>
      </c>
      <c r="W114" s="7">
        <f t="shared" si="132"/>
        <v>-8.5499999999999989</v>
      </c>
      <c r="X114" s="8">
        <f t="shared" si="133"/>
        <v>-0.71249999999999991</v>
      </c>
      <c r="Y114" s="22">
        <v>12</v>
      </c>
      <c r="Z114" s="7">
        <f t="shared" si="136"/>
        <v>-6.8249999999999984</v>
      </c>
      <c r="AA114" s="8">
        <f t="shared" si="137"/>
        <v>-0.56874999999999987</v>
      </c>
      <c r="AB114" s="3"/>
      <c r="AC114" s="22"/>
      <c r="AD114" s="11"/>
      <c r="AE114" s="11"/>
      <c r="AF114" s="22"/>
      <c r="AG114" s="22"/>
      <c r="AH114" s="11"/>
      <c r="AI114" s="23"/>
      <c r="AJ114" s="22"/>
      <c r="AK114" s="22"/>
      <c r="AL114" s="11"/>
      <c r="AM114" s="22"/>
      <c r="AN114" s="22"/>
      <c r="AO114" s="11"/>
    </row>
    <row r="115" spans="1:41" x14ac:dyDescent="0.25">
      <c r="A115" s="3">
        <v>13</v>
      </c>
      <c r="B115" s="8"/>
      <c r="C115" s="8"/>
      <c r="D115" s="3">
        <v>13</v>
      </c>
      <c r="E115" s="7"/>
      <c r="F115" s="8"/>
      <c r="G115" s="36"/>
      <c r="H115" s="3">
        <v>13</v>
      </c>
      <c r="I115" s="3">
        <f t="shared" si="130"/>
        <v>-6</v>
      </c>
      <c r="J115" s="4">
        <f t="shared" si="131"/>
        <v>-0.46153846153846156</v>
      </c>
      <c r="K115" s="3">
        <v>13</v>
      </c>
      <c r="L115" s="3">
        <f t="shared" si="134"/>
        <v>-5.75</v>
      </c>
      <c r="M115" s="4">
        <f t="shared" si="135"/>
        <v>-0.44230769230769229</v>
      </c>
      <c r="O115" s="22">
        <v>13</v>
      </c>
      <c r="P115" s="8">
        <f t="shared" si="120"/>
        <v>-12.137499999999999</v>
      </c>
      <c r="Q115" s="8">
        <f t="shared" si="121"/>
        <v>-0.93365384615384617</v>
      </c>
      <c r="R115" s="22">
        <v>13</v>
      </c>
      <c r="S115" s="7">
        <f t="shared" si="124"/>
        <v>-11.275</v>
      </c>
      <c r="T115" s="8">
        <f t="shared" si="125"/>
        <v>-0.86730769230769234</v>
      </c>
      <c r="U115" s="23"/>
      <c r="V115" s="22">
        <v>13</v>
      </c>
      <c r="W115" s="7">
        <f t="shared" si="132"/>
        <v>-9.5500000000000007</v>
      </c>
      <c r="X115" s="8">
        <f t="shared" si="133"/>
        <v>-0.73461538461538467</v>
      </c>
      <c r="Y115" s="22">
        <v>13</v>
      </c>
      <c r="Z115" s="7">
        <f t="shared" si="136"/>
        <v>-7.8249999999999993</v>
      </c>
      <c r="AA115" s="8">
        <f t="shared" si="137"/>
        <v>-0.60192307692307689</v>
      </c>
      <c r="AB115" s="3"/>
      <c r="AC115" s="22"/>
      <c r="AD115" s="11"/>
      <c r="AE115" s="11"/>
      <c r="AF115" s="22"/>
      <c r="AG115" s="22"/>
      <c r="AH115" s="11"/>
      <c r="AI115" s="23"/>
      <c r="AJ115" s="22"/>
      <c r="AK115" s="22"/>
      <c r="AL115" s="11"/>
      <c r="AM115" s="22"/>
      <c r="AN115" s="22"/>
      <c r="AO115" s="11"/>
    </row>
    <row r="116" spans="1:41" x14ac:dyDescent="0.25">
      <c r="A116" s="3">
        <v>14</v>
      </c>
      <c r="B116" s="8"/>
      <c r="C116" s="8"/>
      <c r="D116" s="3">
        <v>14</v>
      </c>
      <c r="E116" s="7"/>
      <c r="F116" s="8"/>
      <c r="G116" s="36"/>
      <c r="H116" s="3">
        <v>14</v>
      </c>
      <c r="I116" s="3">
        <f t="shared" si="130"/>
        <v>-6.5</v>
      </c>
      <c r="J116" s="4">
        <f t="shared" si="131"/>
        <v>-0.4642857142857143</v>
      </c>
      <c r="K116" s="3">
        <v>14</v>
      </c>
      <c r="L116" s="3">
        <f t="shared" si="134"/>
        <v>-6.25</v>
      </c>
      <c r="M116" s="4">
        <f t="shared" si="135"/>
        <v>-0.44642857142857145</v>
      </c>
      <c r="O116" s="22">
        <v>14</v>
      </c>
      <c r="P116" s="8">
        <f t="shared" si="120"/>
        <v>-13.137499999999999</v>
      </c>
      <c r="Q116" s="8">
        <f t="shared" si="121"/>
        <v>-0.93839285714285714</v>
      </c>
      <c r="R116" s="22">
        <v>14</v>
      </c>
      <c r="S116" s="7">
        <f t="shared" si="124"/>
        <v>-12.275</v>
      </c>
      <c r="T116" s="8">
        <f t="shared" si="125"/>
        <v>-0.87678571428571428</v>
      </c>
      <c r="U116" s="23"/>
      <c r="V116" s="22">
        <v>14</v>
      </c>
      <c r="W116" s="7">
        <f t="shared" si="132"/>
        <v>-10.55</v>
      </c>
      <c r="X116" s="8">
        <f t="shared" si="133"/>
        <v>-0.75357142857142856</v>
      </c>
      <c r="Y116" s="22">
        <v>14</v>
      </c>
      <c r="Z116" s="7">
        <f t="shared" si="136"/>
        <v>-8.8249999999999993</v>
      </c>
      <c r="AA116" s="8">
        <f t="shared" si="137"/>
        <v>-0.63035714285714284</v>
      </c>
      <c r="AB116" s="3"/>
      <c r="AC116" s="22"/>
      <c r="AD116" s="11"/>
      <c r="AE116" s="11"/>
      <c r="AF116" s="22"/>
      <c r="AG116" s="22"/>
      <c r="AH116" s="11"/>
      <c r="AI116" s="23"/>
      <c r="AJ116" s="22"/>
      <c r="AK116" s="22"/>
      <c r="AL116" s="11"/>
      <c r="AM116" s="22"/>
      <c r="AN116" s="22"/>
      <c r="AO116" s="11"/>
    </row>
    <row r="117" spans="1:41" x14ac:dyDescent="0.25">
      <c r="A117" s="3">
        <v>15</v>
      </c>
      <c r="B117" s="8"/>
      <c r="C117" s="8"/>
      <c r="D117" s="3">
        <v>15</v>
      </c>
      <c r="E117" s="7"/>
      <c r="F117" s="8"/>
      <c r="G117" s="36"/>
      <c r="H117" s="3">
        <v>15</v>
      </c>
      <c r="I117" s="3">
        <f t="shared" si="130"/>
        <v>-7</v>
      </c>
      <c r="J117" s="4">
        <f t="shared" si="131"/>
        <v>-0.46666666666666667</v>
      </c>
      <c r="K117" s="3">
        <v>15</v>
      </c>
      <c r="L117" s="3">
        <f t="shared" si="134"/>
        <v>-6.75</v>
      </c>
      <c r="M117" s="4">
        <f t="shared" si="135"/>
        <v>-0.45</v>
      </c>
      <c r="O117" s="22">
        <v>15</v>
      </c>
      <c r="P117" s="8">
        <f t="shared" si="120"/>
        <v>-14.137499999999999</v>
      </c>
      <c r="Q117" s="8">
        <f t="shared" si="121"/>
        <v>-0.9425</v>
      </c>
      <c r="R117" s="22">
        <v>15</v>
      </c>
      <c r="S117" s="7">
        <f t="shared" si="124"/>
        <v>-13.275</v>
      </c>
      <c r="T117" s="8">
        <f t="shared" si="125"/>
        <v>-0.88500000000000001</v>
      </c>
      <c r="U117" s="23"/>
      <c r="V117" s="22">
        <v>15</v>
      </c>
      <c r="W117" s="7">
        <f t="shared" si="132"/>
        <v>-11.55</v>
      </c>
      <c r="X117" s="8">
        <f t="shared" si="133"/>
        <v>-0.77</v>
      </c>
      <c r="Y117" s="22">
        <v>15</v>
      </c>
      <c r="Z117" s="7">
        <f t="shared" si="136"/>
        <v>-9.8250000000000011</v>
      </c>
      <c r="AA117" s="8">
        <f t="shared" si="137"/>
        <v>-0.65500000000000003</v>
      </c>
      <c r="AB117" s="3"/>
      <c r="AC117" s="22"/>
      <c r="AD117" s="11"/>
      <c r="AE117" s="11"/>
      <c r="AF117" s="22"/>
      <c r="AG117" s="22"/>
      <c r="AH117" s="11"/>
      <c r="AI117" s="23"/>
      <c r="AJ117" s="22"/>
      <c r="AK117" s="22"/>
      <c r="AL117" s="11"/>
      <c r="AM117" s="22"/>
      <c r="AN117" s="22"/>
      <c r="AO117" s="11"/>
    </row>
    <row r="118" spans="1:41" x14ac:dyDescent="0.25">
      <c r="O118" s="23"/>
      <c r="P118" s="23"/>
      <c r="Q118" s="23"/>
      <c r="R118" s="23"/>
      <c r="S118" s="23"/>
      <c r="T118" s="23"/>
      <c r="U118" s="23"/>
      <c r="V118" s="23"/>
      <c r="W118" s="23"/>
      <c r="X118" s="23"/>
      <c r="Y118" s="23"/>
      <c r="Z118" s="23"/>
      <c r="AA118" s="22"/>
      <c r="AB118" s="3"/>
      <c r="AC118" s="23"/>
      <c r="AD118" s="23"/>
      <c r="AE118" s="23"/>
      <c r="AF118" s="23"/>
      <c r="AG118" s="23"/>
      <c r="AH118" s="23"/>
      <c r="AI118" s="23"/>
      <c r="AJ118" s="23"/>
      <c r="AK118" s="23"/>
      <c r="AL118" s="23"/>
      <c r="AM118" s="23"/>
      <c r="AN118" s="22"/>
      <c r="AO118" s="22"/>
    </row>
    <row r="119" spans="1:41" x14ac:dyDescent="0.25">
      <c r="O119" s="23"/>
      <c r="P119" s="23"/>
      <c r="Q119" s="23"/>
      <c r="R119" s="23"/>
      <c r="S119" s="23"/>
      <c r="T119" s="23"/>
      <c r="U119" s="23"/>
      <c r="V119" s="23"/>
      <c r="W119" s="23"/>
      <c r="X119" s="23"/>
      <c r="Y119" s="23"/>
      <c r="Z119" s="23"/>
      <c r="AA119" s="22"/>
      <c r="AB119" s="3"/>
      <c r="AC119" s="23"/>
      <c r="AD119" s="23"/>
      <c r="AE119" s="23"/>
      <c r="AF119" s="23"/>
      <c r="AG119" s="23"/>
      <c r="AH119" s="23"/>
      <c r="AI119" s="23"/>
      <c r="AJ119" s="23"/>
      <c r="AK119" s="23"/>
      <c r="AL119" s="23"/>
      <c r="AM119" s="23"/>
      <c r="AN119" s="22"/>
      <c r="AO119" s="22"/>
    </row>
    <row r="120" spans="1:41" x14ac:dyDescent="0.25">
      <c r="O120" s="36"/>
      <c r="P120" s="36"/>
      <c r="Q120" s="36"/>
      <c r="R120" s="36"/>
      <c r="S120" s="36"/>
      <c r="T120" s="36"/>
      <c r="U120" s="36"/>
      <c r="V120" s="36"/>
      <c r="W120" s="36"/>
      <c r="X120" s="36"/>
      <c r="Y120" s="36"/>
      <c r="Z120" s="36"/>
      <c r="AA120" s="3"/>
      <c r="AB120" s="3"/>
      <c r="AC120" s="36"/>
      <c r="AD120" s="36"/>
      <c r="AE120" s="36"/>
      <c r="AF120" s="36"/>
      <c r="AG120" s="36"/>
      <c r="AH120" s="36"/>
      <c r="AI120" s="36"/>
      <c r="AJ120" s="36"/>
      <c r="AK120" s="36"/>
      <c r="AL120" s="36"/>
      <c r="AM120" s="36"/>
      <c r="AO120" s="3"/>
    </row>
    <row r="121" spans="1:41" x14ac:dyDescent="0.25">
      <c r="O121" s="36"/>
      <c r="P121" s="36"/>
      <c r="Q121" s="36"/>
      <c r="R121" s="36"/>
      <c r="S121" s="36"/>
      <c r="T121" s="36"/>
      <c r="U121" s="36"/>
      <c r="V121" s="36"/>
      <c r="W121" s="36"/>
      <c r="X121" s="36"/>
      <c r="Y121" s="36"/>
      <c r="Z121" s="36"/>
      <c r="AA121" s="3"/>
      <c r="AB121" s="3"/>
      <c r="AC121" s="36"/>
      <c r="AD121" s="36"/>
      <c r="AE121" s="36"/>
      <c r="AF121" s="36"/>
      <c r="AG121" s="36"/>
      <c r="AH121" s="36"/>
      <c r="AI121" s="36"/>
      <c r="AJ121" s="36"/>
      <c r="AK121" s="36"/>
      <c r="AL121" s="36"/>
      <c r="AM121" s="36"/>
      <c r="AO121" s="3"/>
    </row>
    <row r="122" spans="1:41" x14ac:dyDescent="0.25">
      <c r="O122" s="36"/>
      <c r="P122" s="36"/>
      <c r="Q122" s="36"/>
      <c r="R122" s="36"/>
      <c r="S122" s="36"/>
      <c r="T122" s="36"/>
      <c r="U122" s="36"/>
      <c r="V122" s="36"/>
      <c r="W122" s="36"/>
      <c r="X122" s="36"/>
      <c r="Y122" s="36"/>
      <c r="Z122" s="36"/>
      <c r="AA122" s="3"/>
      <c r="AB122" s="3"/>
      <c r="AC122" s="36"/>
      <c r="AD122" s="36"/>
      <c r="AE122" s="36"/>
      <c r="AF122" s="36"/>
      <c r="AG122" s="36"/>
      <c r="AH122" s="36"/>
      <c r="AI122" s="36"/>
      <c r="AJ122" s="36"/>
      <c r="AK122" s="36"/>
      <c r="AL122" s="36"/>
      <c r="AM122" s="36"/>
      <c r="AO122" s="3"/>
    </row>
    <row r="123" spans="1:41" x14ac:dyDescent="0.25">
      <c r="O123" s="36"/>
      <c r="P123" s="36"/>
      <c r="Q123" s="36"/>
      <c r="R123" s="36"/>
      <c r="S123" s="36"/>
      <c r="T123" s="36"/>
      <c r="U123" s="36"/>
      <c r="V123" s="36"/>
      <c r="W123" s="36"/>
      <c r="X123" s="36"/>
      <c r="Y123" s="36"/>
      <c r="Z123" s="36"/>
      <c r="AA123" s="3"/>
      <c r="AB123" s="3"/>
      <c r="AC123" s="36"/>
      <c r="AD123" s="36"/>
      <c r="AE123" s="36"/>
      <c r="AF123" s="36"/>
      <c r="AG123" s="36"/>
      <c r="AH123" s="36"/>
      <c r="AI123" s="36"/>
      <c r="AJ123" s="36"/>
      <c r="AK123" s="36"/>
      <c r="AL123" s="36"/>
      <c r="AM123" s="36"/>
      <c r="AO123" s="3"/>
    </row>
    <row r="124" spans="1:41" x14ac:dyDescent="0.25">
      <c r="O124" s="36"/>
      <c r="P124" s="36"/>
      <c r="Q124" s="36"/>
      <c r="R124" s="36"/>
      <c r="S124" s="36"/>
      <c r="T124" s="36"/>
      <c r="U124" s="36"/>
      <c r="V124" s="36"/>
      <c r="W124" s="36"/>
      <c r="X124" s="36"/>
      <c r="Y124" s="36"/>
      <c r="Z124" s="36"/>
      <c r="AA124" s="3"/>
      <c r="AB124" s="3"/>
      <c r="AC124" s="36"/>
      <c r="AD124" s="36"/>
      <c r="AE124" s="36"/>
      <c r="AF124" s="36"/>
      <c r="AG124" s="36"/>
      <c r="AH124" s="36"/>
      <c r="AI124" s="36"/>
      <c r="AJ124" s="36"/>
      <c r="AK124" s="36"/>
      <c r="AL124" s="36"/>
      <c r="AM124" s="36"/>
      <c r="AO124" s="3"/>
    </row>
    <row r="125" spans="1:41" x14ac:dyDescent="0.25">
      <c r="O125" s="36"/>
      <c r="P125" s="36"/>
      <c r="Q125" s="36"/>
      <c r="R125" s="36"/>
      <c r="S125" s="36"/>
      <c r="T125" s="36"/>
      <c r="U125" s="36"/>
      <c r="V125" s="36"/>
      <c r="W125" s="36"/>
      <c r="X125" s="36"/>
      <c r="Y125" s="36"/>
      <c r="Z125" s="36"/>
      <c r="AA125" s="3"/>
      <c r="AB125" s="3"/>
      <c r="AC125" s="36"/>
      <c r="AD125" s="36"/>
      <c r="AE125" s="36"/>
      <c r="AF125" s="36"/>
      <c r="AG125" s="36"/>
      <c r="AH125" s="36"/>
      <c r="AI125" s="36"/>
      <c r="AJ125" s="36"/>
      <c r="AK125" s="36"/>
      <c r="AL125" s="36"/>
      <c r="AM125" s="36"/>
      <c r="AO125" s="3"/>
    </row>
    <row r="126" spans="1:41" x14ac:dyDescent="0.25">
      <c r="O126" s="36"/>
      <c r="P126" s="36"/>
      <c r="Q126" s="36"/>
      <c r="R126" s="36"/>
      <c r="S126" s="36"/>
      <c r="T126" s="36"/>
      <c r="U126" s="36"/>
      <c r="V126" s="36"/>
      <c r="W126" s="36"/>
      <c r="X126" s="36"/>
      <c r="Y126" s="36"/>
      <c r="Z126" s="36"/>
      <c r="AA126" s="3"/>
      <c r="AB126" s="3"/>
      <c r="AC126" s="36"/>
      <c r="AD126" s="36"/>
      <c r="AE126" s="36"/>
      <c r="AF126" s="36"/>
      <c r="AG126" s="36"/>
      <c r="AH126" s="36"/>
      <c r="AI126" s="36"/>
      <c r="AJ126" s="36"/>
      <c r="AK126" s="36"/>
      <c r="AL126" s="36"/>
      <c r="AM126" s="36"/>
      <c r="AO126" s="3"/>
    </row>
    <row r="127" spans="1:41" x14ac:dyDescent="0.25">
      <c r="O127" s="36"/>
      <c r="P127" s="36"/>
      <c r="Q127" s="36"/>
      <c r="R127" s="36"/>
      <c r="S127" s="36"/>
      <c r="T127" s="36"/>
      <c r="U127" s="36"/>
      <c r="V127" s="36"/>
      <c r="W127" s="36"/>
      <c r="X127" s="36"/>
      <c r="Y127" s="36"/>
      <c r="Z127" s="36"/>
      <c r="AA127" s="3"/>
      <c r="AB127" s="3"/>
      <c r="AC127" s="36"/>
      <c r="AD127" s="36"/>
      <c r="AE127" s="36"/>
      <c r="AF127" s="36"/>
      <c r="AG127" s="36"/>
      <c r="AH127" s="36"/>
      <c r="AI127" s="36"/>
      <c r="AJ127" s="36"/>
      <c r="AK127" s="36"/>
      <c r="AL127" s="36"/>
      <c r="AM127" s="36"/>
      <c r="AO127" s="3"/>
    </row>
    <row r="128" spans="1:41" x14ac:dyDescent="0.25">
      <c r="O128" s="36"/>
      <c r="P128" s="36"/>
      <c r="Q128" s="36"/>
      <c r="R128" s="36"/>
      <c r="S128" s="36"/>
      <c r="T128" s="36"/>
      <c r="U128" s="36"/>
      <c r="V128" s="36"/>
      <c r="W128" s="36"/>
      <c r="X128" s="36"/>
      <c r="Y128" s="36"/>
      <c r="Z128" s="36"/>
      <c r="AA128" s="3"/>
      <c r="AB128" s="3"/>
      <c r="AC128" s="36"/>
      <c r="AD128" s="36"/>
      <c r="AE128" s="36"/>
      <c r="AF128" s="36"/>
      <c r="AG128" s="36"/>
      <c r="AH128" s="36"/>
      <c r="AI128" s="36"/>
      <c r="AJ128" s="36"/>
      <c r="AK128" s="36"/>
      <c r="AL128" s="36"/>
      <c r="AM128" s="36"/>
      <c r="AO128" s="3"/>
    </row>
    <row r="129" spans="15:41" x14ac:dyDescent="0.25">
      <c r="O129" s="36"/>
      <c r="P129" s="36"/>
      <c r="Q129" s="36"/>
      <c r="R129" s="36"/>
      <c r="S129" s="36"/>
      <c r="T129" s="36"/>
      <c r="U129" s="36"/>
      <c r="V129" s="36"/>
      <c r="W129" s="36"/>
      <c r="X129" s="36"/>
      <c r="Y129" s="36"/>
      <c r="Z129" s="36"/>
      <c r="AA129" s="3"/>
      <c r="AB129" s="3"/>
      <c r="AC129" s="36"/>
      <c r="AD129" s="36"/>
      <c r="AE129" s="36"/>
      <c r="AF129" s="36"/>
      <c r="AG129" s="36"/>
      <c r="AH129" s="36"/>
      <c r="AI129" s="36"/>
      <c r="AJ129" s="36"/>
      <c r="AK129" s="36"/>
      <c r="AL129" s="36"/>
      <c r="AM129" s="36"/>
      <c r="AO129" s="3"/>
    </row>
    <row r="130" spans="15:41" x14ac:dyDescent="0.25">
      <c r="O130" s="36"/>
      <c r="P130" s="36"/>
      <c r="Q130" s="36"/>
      <c r="R130" s="36"/>
      <c r="S130" s="36"/>
      <c r="T130" s="36"/>
      <c r="U130" s="36"/>
      <c r="V130" s="36"/>
      <c r="W130" s="36"/>
      <c r="X130" s="36"/>
      <c r="Y130" s="36"/>
      <c r="Z130" s="36"/>
      <c r="AA130" s="3"/>
      <c r="AB130" s="3"/>
      <c r="AC130" s="36"/>
      <c r="AD130" s="36"/>
      <c r="AE130" s="36"/>
      <c r="AF130" s="36"/>
      <c r="AG130" s="36"/>
      <c r="AH130" s="36"/>
      <c r="AI130" s="36"/>
      <c r="AJ130" s="36"/>
      <c r="AK130" s="36"/>
      <c r="AL130" s="36"/>
      <c r="AM130" s="36"/>
      <c r="AO130" s="3"/>
    </row>
    <row r="131" spans="15:41" x14ac:dyDescent="0.25">
      <c r="O131" s="36"/>
      <c r="P131" s="36"/>
      <c r="Q131" s="36"/>
      <c r="R131" s="36"/>
      <c r="S131" s="36"/>
      <c r="T131" s="36"/>
      <c r="U131" s="36"/>
      <c r="V131" s="36"/>
      <c r="W131" s="36"/>
      <c r="X131" s="36"/>
      <c r="Y131" s="36"/>
      <c r="Z131" s="36"/>
      <c r="AA131" s="3"/>
      <c r="AB131" s="3"/>
      <c r="AC131" s="36"/>
      <c r="AD131" s="36"/>
      <c r="AE131" s="36"/>
      <c r="AF131" s="36"/>
      <c r="AG131" s="36"/>
      <c r="AH131" s="36"/>
      <c r="AI131" s="36"/>
      <c r="AJ131" s="36"/>
      <c r="AK131" s="36"/>
      <c r="AL131" s="36"/>
      <c r="AM131" s="36"/>
      <c r="AO131" s="3"/>
    </row>
    <row r="132" spans="15:41" x14ac:dyDescent="0.25">
      <c r="O132" s="36"/>
      <c r="P132" s="36"/>
      <c r="Q132" s="36"/>
      <c r="R132" s="36"/>
      <c r="S132" s="36"/>
      <c r="T132" s="36"/>
      <c r="U132" s="36"/>
      <c r="V132" s="36"/>
      <c r="W132" s="36"/>
      <c r="X132" s="36"/>
      <c r="Y132" s="36"/>
      <c r="Z132" s="36"/>
      <c r="AA132" s="3"/>
      <c r="AB132" s="3"/>
      <c r="AC132" s="36"/>
      <c r="AD132" s="36"/>
      <c r="AE132" s="36"/>
      <c r="AF132" s="36"/>
      <c r="AG132" s="36"/>
      <c r="AH132" s="36"/>
      <c r="AI132" s="36"/>
      <c r="AJ132" s="36"/>
      <c r="AK132" s="36"/>
      <c r="AL132" s="36"/>
      <c r="AM132" s="36"/>
      <c r="AO132" s="3"/>
    </row>
    <row r="133" spans="15:41" x14ac:dyDescent="0.25">
      <c r="O133" s="36"/>
      <c r="P133" s="36"/>
      <c r="Q133" s="36"/>
      <c r="R133" s="36"/>
      <c r="S133" s="36"/>
      <c r="T133" s="36"/>
      <c r="U133" s="36"/>
      <c r="V133" s="36"/>
      <c r="W133" s="36"/>
      <c r="X133" s="36"/>
      <c r="Y133" s="36"/>
      <c r="Z133" s="36"/>
      <c r="AA133" s="3"/>
      <c r="AB133" s="3"/>
      <c r="AC133" s="36"/>
      <c r="AD133" s="36"/>
      <c r="AE133" s="36"/>
      <c r="AF133" s="36"/>
      <c r="AG133" s="36"/>
      <c r="AH133" s="36"/>
      <c r="AI133" s="36"/>
      <c r="AJ133" s="36"/>
      <c r="AK133" s="36"/>
      <c r="AL133" s="36"/>
      <c r="AM133" s="36"/>
      <c r="AO133" s="3"/>
    </row>
    <row r="134" spans="15:41" x14ac:dyDescent="0.25">
      <c r="O134" s="36"/>
      <c r="P134" s="36"/>
      <c r="Q134" s="36"/>
      <c r="R134" s="36"/>
      <c r="S134" s="36"/>
      <c r="T134" s="36"/>
      <c r="U134" s="36"/>
      <c r="V134" s="36"/>
      <c r="W134" s="36"/>
      <c r="X134" s="36"/>
      <c r="Y134" s="36"/>
      <c r="Z134" s="36"/>
      <c r="AA134" s="3"/>
      <c r="AB134" s="3"/>
      <c r="AC134" s="36"/>
      <c r="AD134" s="36"/>
      <c r="AE134" s="36"/>
      <c r="AF134" s="36"/>
      <c r="AG134" s="36"/>
      <c r="AH134" s="36"/>
      <c r="AI134" s="36"/>
      <c r="AJ134" s="36"/>
    </row>
    <row r="135" spans="15:41" x14ac:dyDescent="0.25">
      <c r="O135" s="36"/>
      <c r="P135" s="36"/>
      <c r="Q135" s="36"/>
      <c r="R135" s="36"/>
      <c r="S135" s="36"/>
      <c r="T135" s="36"/>
      <c r="U135" s="36"/>
      <c r="V135" s="36"/>
      <c r="W135" s="36"/>
      <c r="X135" s="36"/>
      <c r="Y135" s="36"/>
      <c r="Z135" s="36"/>
      <c r="AA135" s="3"/>
      <c r="AB135" s="3"/>
      <c r="AC135" s="36"/>
      <c r="AD135" s="36"/>
      <c r="AE135" s="36"/>
      <c r="AF135" s="36"/>
      <c r="AG135" s="36"/>
      <c r="AH135" s="36"/>
      <c r="AI135" s="36"/>
      <c r="AJ135" s="36"/>
    </row>
    <row r="136" spans="15:41" x14ac:dyDescent="0.25">
      <c r="O136" s="36"/>
      <c r="P136" s="36"/>
      <c r="Q136" s="36"/>
      <c r="R136" s="36"/>
      <c r="S136" s="36"/>
      <c r="T136" s="36"/>
      <c r="U136" s="36"/>
      <c r="V136" s="36"/>
      <c r="W136" s="36"/>
      <c r="X136" s="36"/>
      <c r="Y136" s="36"/>
      <c r="Z136" s="36"/>
      <c r="AA136" s="3"/>
      <c r="AB136" s="3"/>
      <c r="AC136" s="36"/>
      <c r="AD136" s="36"/>
      <c r="AE136" s="36"/>
      <c r="AF136" s="36"/>
      <c r="AG136" s="36"/>
      <c r="AH136" s="36"/>
      <c r="AI136" s="36"/>
      <c r="AJ136" s="36"/>
    </row>
    <row r="137" spans="15:41" x14ac:dyDescent="0.25">
      <c r="O137" s="36"/>
      <c r="P137" s="36"/>
      <c r="Q137" s="36"/>
      <c r="R137" s="36"/>
      <c r="S137" s="36"/>
      <c r="T137" s="36"/>
      <c r="U137" s="36"/>
      <c r="V137" s="36"/>
      <c r="W137" s="36"/>
      <c r="X137" s="36"/>
      <c r="Y137" s="36"/>
      <c r="Z137" s="36"/>
      <c r="AA137" s="3"/>
      <c r="AB137" s="3"/>
      <c r="AC137" s="36"/>
      <c r="AD137" s="36"/>
      <c r="AE137" s="36"/>
      <c r="AF137" s="36"/>
      <c r="AG137" s="36"/>
      <c r="AH137" s="36"/>
      <c r="AI137" s="36"/>
      <c r="AJ137" s="36"/>
    </row>
    <row r="138" spans="15:41" x14ac:dyDescent="0.25">
      <c r="O138" s="36"/>
      <c r="P138" s="36"/>
      <c r="Q138" s="36"/>
      <c r="R138" s="36"/>
      <c r="S138" s="36"/>
      <c r="T138" s="36"/>
      <c r="U138" s="36"/>
      <c r="V138" s="36"/>
      <c r="W138" s="36"/>
      <c r="X138" s="36"/>
      <c r="Y138" s="36"/>
      <c r="Z138" s="36"/>
      <c r="AA138" s="3"/>
      <c r="AB138" s="3"/>
      <c r="AC138" s="36"/>
      <c r="AD138" s="36"/>
      <c r="AE138" s="36"/>
      <c r="AF138" s="36"/>
      <c r="AG138" s="36"/>
      <c r="AH138" s="36"/>
      <c r="AI138" s="36"/>
      <c r="AJ138" s="36"/>
    </row>
    <row r="139" spans="15:41" x14ac:dyDescent="0.25">
      <c r="O139" s="36"/>
      <c r="P139" s="36"/>
      <c r="Q139" s="36"/>
      <c r="R139" s="36"/>
      <c r="S139" s="36"/>
      <c r="T139" s="36"/>
      <c r="U139" s="36"/>
      <c r="V139" s="36"/>
      <c r="W139" s="36"/>
      <c r="X139" s="36"/>
      <c r="Y139" s="36"/>
      <c r="Z139" s="36"/>
      <c r="AA139" s="3"/>
      <c r="AB139" s="3"/>
      <c r="AC139" s="36"/>
      <c r="AD139" s="36"/>
      <c r="AE139" s="36"/>
      <c r="AF139" s="36"/>
      <c r="AG139" s="36"/>
      <c r="AH139" s="36"/>
      <c r="AI139" s="36"/>
      <c r="AJ139" s="36"/>
    </row>
    <row r="140" spans="15:41" x14ac:dyDescent="0.25">
      <c r="O140" s="36"/>
      <c r="P140" s="36"/>
      <c r="Q140" s="36"/>
      <c r="R140" s="36"/>
      <c r="S140" s="36"/>
      <c r="T140" s="36"/>
      <c r="U140" s="36"/>
      <c r="V140" s="36"/>
      <c r="W140" s="36"/>
      <c r="X140" s="36"/>
      <c r="Y140" s="36"/>
      <c r="Z140" s="36"/>
      <c r="AA140" s="3"/>
      <c r="AB140" s="3"/>
      <c r="AC140" s="36"/>
      <c r="AD140" s="36"/>
      <c r="AE140" s="36"/>
      <c r="AF140" s="36"/>
      <c r="AG140" s="36"/>
      <c r="AH140" s="36"/>
      <c r="AI140" s="36"/>
      <c r="AJ140" s="36"/>
    </row>
    <row r="141" spans="15:41" x14ac:dyDescent="0.25">
      <c r="O141" s="36"/>
      <c r="P141" s="36"/>
      <c r="Q141" s="36"/>
      <c r="R141" s="36"/>
      <c r="S141" s="36"/>
      <c r="T141" s="36"/>
      <c r="U141" s="36"/>
      <c r="V141" s="36"/>
      <c r="W141" s="36"/>
      <c r="X141" s="36"/>
      <c r="Y141" s="36"/>
      <c r="Z141" s="36"/>
      <c r="AA141" s="3"/>
      <c r="AB141" s="3"/>
      <c r="AC141" s="36"/>
      <c r="AD141" s="36"/>
      <c r="AE141" s="36"/>
      <c r="AF141" s="36"/>
      <c r="AG141" s="36"/>
      <c r="AH141" s="36"/>
      <c r="AI141" s="36"/>
      <c r="AJ141" s="36"/>
    </row>
    <row r="142" spans="15:41" x14ac:dyDescent="0.25">
      <c r="O142" s="36"/>
      <c r="P142" s="36"/>
      <c r="Q142" s="36"/>
      <c r="R142" s="36"/>
      <c r="S142" s="36"/>
      <c r="T142" s="36"/>
      <c r="U142" s="36"/>
      <c r="V142" s="36"/>
      <c r="W142" s="36"/>
      <c r="X142" s="36"/>
      <c r="Y142" s="36"/>
      <c r="Z142" s="36"/>
      <c r="AA142" s="3"/>
      <c r="AB142" s="3"/>
      <c r="AC142" s="36"/>
      <c r="AD142" s="36"/>
      <c r="AE142" s="36"/>
      <c r="AF142" s="36"/>
      <c r="AG142" s="36"/>
      <c r="AH142" s="36"/>
      <c r="AI142" s="36"/>
      <c r="AJ142" s="36"/>
    </row>
    <row r="143" spans="15:41" x14ac:dyDescent="0.25">
      <c r="O143" s="36"/>
      <c r="P143" s="36"/>
      <c r="Q143" s="36"/>
      <c r="R143" s="36"/>
      <c r="S143" s="36"/>
      <c r="T143" s="36"/>
      <c r="U143" s="36"/>
      <c r="V143" s="36"/>
      <c r="W143" s="36"/>
      <c r="X143" s="36"/>
      <c r="Y143" s="36"/>
      <c r="Z143" s="36"/>
      <c r="AA143" s="3"/>
      <c r="AB143" s="3"/>
      <c r="AC143" s="36"/>
      <c r="AD143" s="36"/>
      <c r="AE143" s="36"/>
      <c r="AF143" s="36"/>
      <c r="AG143" s="36"/>
      <c r="AH143" s="36"/>
      <c r="AI143" s="36"/>
      <c r="AJ143" s="36"/>
    </row>
    <row r="144" spans="15:41" x14ac:dyDescent="0.25">
      <c r="O144" s="36"/>
      <c r="P144" s="36"/>
      <c r="Q144" s="36"/>
      <c r="R144" s="36"/>
      <c r="S144" s="36"/>
      <c r="T144" s="36"/>
      <c r="U144" s="36"/>
      <c r="V144" s="36"/>
      <c r="W144" s="36"/>
      <c r="X144" s="36"/>
      <c r="Y144" s="36"/>
      <c r="Z144" s="36"/>
      <c r="AA144" s="3"/>
      <c r="AB144" s="3"/>
      <c r="AC144" s="36"/>
      <c r="AD144" s="36"/>
      <c r="AE144" s="36"/>
      <c r="AF144" s="36"/>
      <c r="AG144" s="36"/>
      <c r="AH144" s="36"/>
      <c r="AI144" s="36"/>
      <c r="AJ144" s="36"/>
    </row>
    <row r="145" spans="15:41" x14ac:dyDescent="0.25">
      <c r="O145" s="36"/>
      <c r="P145" s="36"/>
      <c r="Q145" s="36"/>
      <c r="R145" s="36"/>
      <c r="S145" s="36"/>
      <c r="T145" s="36"/>
      <c r="U145" s="36"/>
      <c r="V145" s="36"/>
      <c r="W145" s="36"/>
      <c r="X145" s="36"/>
      <c r="Y145" s="36"/>
      <c r="Z145" s="36"/>
      <c r="AA145" s="3"/>
      <c r="AB145" s="3"/>
      <c r="AC145" s="36"/>
      <c r="AD145" s="36"/>
      <c r="AE145" s="36"/>
      <c r="AF145" s="36"/>
      <c r="AG145" s="36"/>
      <c r="AH145" s="36"/>
      <c r="AI145" s="36"/>
      <c r="AJ145" s="36"/>
    </row>
    <row r="146" spans="15:41" x14ac:dyDescent="0.25">
      <c r="O146" s="36"/>
      <c r="P146" s="36"/>
      <c r="Q146" s="36"/>
      <c r="R146" s="36"/>
      <c r="S146" s="36"/>
      <c r="T146" s="36"/>
      <c r="U146" s="36"/>
      <c r="V146" s="36"/>
      <c r="W146" s="36"/>
      <c r="X146" s="36"/>
      <c r="Y146" s="36"/>
      <c r="Z146" s="36"/>
      <c r="AA146" s="3"/>
      <c r="AB146" s="3"/>
      <c r="AC146" s="36"/>
      <c r="AD146" s="36"/>
      <c r="AE146" s="36"/>
      <c r="AF146" s="36"/>
      <c r="AG146" s="36"/>
      <c r="AH146" s="36"/>
      <c r="AI146" s="36"/>
      <c r="AJ146" s="36"/>
    </row>
    <row r="147" spans="15:41" x14ac:dyDescent="0.25">
      <c r="O147" s="36"/>
      <c r="P147" s="36"/>
      <c r="Q147" s="36"/>
      <c r="R147" s="36"/>
      <c r="S147" s="36"/>
      <c r="T147" s="36"/>
      <c r="U147" s="36"/>
      <c r="V147" s="36"/>
      <c r="W147" s="36"/>
      <c r="X147" s="36"/>
      <c r="Y147" s="36"/>
      <c r="Z147" s="36"/>
      <c r="AA147" s="3"/>
      <c r="AB147" s="3"/>
      <c r="AC147" s="36"/>
      <c r="AD147" s="36"/>
      <c r="AE147" s="36"/>
      <c r="AF147" s="36"/>
      <c r="AG147" s="36"/>
      <c r="AH147" s="36"/>
      <c r="AI147" s="36"/>
      <c r="AJ147" s="36"/>
    </row>
    <row r="148" spans="15:41" x14ac:dyDescent="0.25">
      <c r="O148" s="36"/>
      <c r="P148" s="36"/>
      <c r="Q148" s="36"/>
      <c r="R148" s="36"/>
      <c r="S148" s="36"/>
      <c r="T148" s="36"/>
      <c r="U148" s="36"/>
      <c r="V148" s="36"/>
      <c r="W148" s="36"/>
      <c r="X148" s="36"/>
      <c r="Y148" s="36"/>
      <c r="Z148" s="36"/>
      <c r="AA148" s="3"/>
      <c r="AB148" s="3"/>
      <c r="AC148" s="36"/>
      <c r="AD148" s="36"/>
      <c r="AE148" s="36"/>
      <c r="AF148" s="36"/>
      <c r="AG148" s="36"/>
      <c r="AH148" s="36"/>
      <c r="AI148" s="36"/>
      <c r="AJ148" s="36"/>
    </row>
    <row r="149" spans="15:41" x14ac:dyDescent="0.25">
      <c r="O149" s="36"/>
      <c r="P149" s="36"/>
      <c r="Q149" s="36"/>
      <c r="R149" s="36"/>
      <c r="S149" s="36"/>
      <c r="T149" s="36"/>
      <c r="U149" s="36"/>
      <c r="V149" s="36"/>
      <c r="W149" s="36"/>
      <c r="X149" s="36"/>
      <c r="Y149" s="36"/>
      <c r="Z149" s="36"/>
      <c r="AA149" s="3"/>
      <c r="AB149" s="3"/>
      <c r="AC149" s="36"/>
      <c r="AD149" s="36"/>
      <c r="AE149" s="36"/>
      <c r="AF149" s="36"/>
      <c r="AG149" s="36"/>
      <c r="AH149" s="36"/>
      <c r="AI149" s="36"/>
      <c r="AJ149" s="36"/>
    </row>
    <row r="150" spans="15:41" x14ac:dyDescent="0.25">
      <c r="O150" s="36"/>
      <c r="P150" s="36"/>
      <c r="Q150" s="36"/>
      <c r="R150" s="36"/>
      <c r="S150" s="36"/>
      <c r="T150" s="36"/>
      <c r="U150" s="36"/>
      <c r="V150" s="36"/>
      <c r="W150" s="36"/>
      <c r="X150" s="36"/>
      <c r="Y150" s="36"/>
      <c r="Z150" s="36"/>
      <c r="AA150" s="3"/>
      <c r="AB150" s="3"/>
      <c r="AC150" s="36"/>
      <c r="AD150" s="36"/>
      <c r="AE150" s="36"/>
      <c r="AF150" s="36"/>
      <c r="AG150" s="36"/>
      <c r="AH150" s="36"/>
      <c r="AI150" s="36"/>
      <c r="AJ150" s="36"/>
    </row>
    <row r="151" spans="15:41" x14ac:dyDescent="0.25">
      <c r="O151" s="36"/>
      <c r="P151" s="36"/>
      <c r="Q151" s="36"/>
      <c r="R151" s="36"/>
      <c r="S151" s="36"/>
      <c r="T151" s="36"/>
      <c r="U151" s="36"/>
      <c r="V151" s="36"/>
      <c r="W151" s="36"/>
      <c r="X151" s="36"/>
      <c r="Y151" s="36"/>
      <c r="Z151" s="36"/>
      <c r="AA151" s="3"/>
      <c r="AB151" s="3"/>
      <c r="AC151" s="36"/>
      <c r="AD151" s="36"/>
      <c r="AE151" s="36"/>
      <c r="AF151" s="36"/>
      <c r="AG151" s="36"/>
      <c r="AH151" s="36"/>
      <c r="AI151" s="36"/>
      <c r="AJ151" s="36"/>
    </row>
    <row r="152" spans="15:41" x14ac:dyDescent="0.25">
      <c r="O152" s="36"/>
      <c r="P152" s="36"/>
      <c r="Q152" s="36"/>
      <c r="R152" s="36"/>
      <c r="S152" s="36"/>
      <c r="T152" s="36"/>
      <c r="U152" s="36"/>
      <c r="V152" s="36"/>
      <c r="W152" s="36"/>
      <c r="X152" s="36"/>
      <c r="Y152" s="36"/>
      <c r="Z152" s="36"/>
      <c r="AA152" s="3"/>
      <c r="AB152" s="3"/>
      <c r="AC152" s="36"/>
      <c r="AD152" s="36"/>
      <c r="AE152" s="36"/>
      <c r="AF152" s="36"/>
      <c r="AG152" s="36"/>
      <c r="AH152" s="36"/>
      <c r="AI152" s="36"/>
      <c r="AJ152" s="36"/>
    </row>
    <row r="153" spans="15:41" x14ac:dyDescent="0.25">
      <c r="O153" s="36"/>
      <c r="P153" s="36"/>
      <c r="Q153" s="36"/>
      <c r="R153" s="36"/>
      <c r="S153" s="36"/>
      <c r="T153" s="36"/>
      <c r="U153" s="36"/>
      <c r="V153" s="36"/>
      <c r="W153" s="36"/>
      <c r="X153" s="36"/>
      <c r="Y153" s="36"/>
      <c r="Z153" s="36"/>
      <c r="AA153" s="3"/>
      <c r="AB153" s="3"/>
      <c r="AC153" s="36"/>
      <c r="AD153" s="36"/>
      <c r="AE153" s="36"/>
      <c r="AF153" s="36"/>
      <c r="AG153" s="36"/>
      <c r="AH153" s="36"/>
      <c r="AI153" s="36"/>
      <c r="AJ153" s="36"/>
    </row>
    <row r="154" spans="15:41" x14ac:dyDescent="0.25">
      <c r="O154" s="36"/>
      <c r="P154" s="36"/>
      <c r="Q154" s="36"/>
      <c r="R154" s="36"/>
      <c r="S154" s="36"/>
      <c r="T154" s="36"/>
      <c r="U154" s="36"/>
      <c r="V154" s="36"/>
      <c r="W154" s="36"/>
      <c r="X154" s="36"/>
      <c r="Y154" s="36"/>
      <c r="Z154" s="36"/>
      <c r="AA154" s="3"/>
      <c r="AB154" s="3"/>
      <c r="AC154" s="36"/>
      <c r="AD154" s="36"/>
      <c r="AE154" s="36"/>
      <c r="AF154" s="36"/>
      <c r="AG154" s="36"/>
      <c r="AH154" s="36"/>
      <c r="AI154" s="36"/>
      <c r="AJ154" s="36"/>
    </row>
    <row r="155" spans="15:41" x14ac:dyDescent="0.25">
      <c r="O155" s="36"/>
      <c r="P155" s="36"/>
      <c r="Q155" s="36"/>
      <c r="R155" s="36"/>
      <c r="S155" s="36"/>
      <c r="T155" s="36"/>
      <c r="U155" s="36"/>
      <c r="V155" s="36"/>
      <c r="W155" s="36"/>
      <c r="X155" s="36"/>
      <c r="Y155" s="36"/>
      <c r="Z155" s="36"/>
      <c r="AA155" s="3"/>
      <c r="AB155" s="3"/>
      <c r="AC155" s="36"/>
      <c r="AD155" s="36"/>
      <c r="AE155" s="36"/>
      <c r="AF155" s="36"/>
      <c r="AG155" s="36"/>
      <c r="AH155" s="36"/>
      <c r="AI155" s="36"/>
      <c r="AJ155" s="36"/>
    </row>
    <row r="156" spans="15:41" x14ac:dyDescent="0.25">
      <c r="O156" s="36"/>
      <c r="P156" s="36"/>
      <c r="Q156" s="36"/>
      <c r="R156" s="36"/>
      <c r="S156" s="36"/>
      <c r="T156" s="36"/>
      <c r="U156" s="36"/>
      <c r="V156" s="36"/>
      <c r="W156" s="36"/>
      <c r="X156" s="36"/>
      <c r="Y156" s="36"/>
      <c r="Z156" s="36"/>
      <c r="AA156" s="3"/>
      <c r="AB156" s="3"/>
      <c r="AC156" s="36"/>
      <c r="AD156" s="36"/>
      <c r="AE156" s="36"/>
      <c r="AF156" s="36"/>
      <c r="AG156" s="36"/>
      <c r="AH156" s="36"/>
      <c r="AI156" s="36"/>
      <c r="AJ156" s="36"/>
    </row>
    <row r="157" spans="15:41" x14ac:dyDescent="0.25">
      <c r="O157" s="36"/>
      <c r="P157" s="36"/>
      <c r="Q157" s="36"/>
      <c r="R157" s="36"/>
      <c r="S157" s="36"/>
      <c r="T157" s="36"/>
      <c r="U157" s="36"/>
      <c r="V157" s="36"/>
      <c r="W157" s="36"/>
      <c r="X157" s="36"/>
      <c r="Y157" s="36"/>
      <c r="Z157" s="36"/>
      <c r="AA157" s="3"/>
      <c r="AB157" s="3"/>
      <c r="AC157" s="36"/>
      <c r="AD157" s="36"/>
      <c r="AE157" s="36"/>
      <c r="AF157" s="36"/>
      <c r="AG157" s="36"/>
      <c r="AH157" s="36"/>
      <c r="AI157" s="36"/>
      <c r="AJ157" s="36"/>
    </row>
    <row r="158" spans="15:41" x14ac:dyDescent="0.25">
      <c r="O158" s="36"/>
      <c r="P158" s="36"/>
      <c r="Q158" s="36"/>
      <c r="R158" s="36"/>
      <c r="S158" s="36"/>
      <c r="T158" s="36"/>
      <c r="U158" s="36"/>
      <c r="V158" s="36"/>
      <c r="W158" s="36"/>
      <c r="X158" s="36"/>
      <c r="Y158" s="36"/>
      <c r="Z158" s="36"/>
      <c r="AA158" s="3"/>
      <c r="AB158" s="3"/>
      <c r="AC158" s="36"/>
      <c r="AD158" s="36"/>
      <c r="AE158" s="36"/>
      <c r="AF158" s="36"/>
      <c r="AG158" s="36"/>
      <c r="AH158" s="36"/>
      <c r="AI158" s="36"/>
      <c r="AJ158" s="36"/>
    </row>
    <row r="159" spans="15:41" x14ac:dyDescent="0.25">
      <c r="O159" s="36"/>
      <c r="P159" s="36"/>
      <c r="Q159" s="36"/>
      <c r="R159" s="36"/>
      <c r="S159" s="36"/>
      <c r="T159" s="36"/>
      <c r="U159" s="36"/>
      <c r="V159" s="36"/>
      <c r="W159" s="36"/>
      <c r="X159" s="36"/>
      <c r="Y159" s="36"/>
      <c r="Z159" s="36"/>
      <c r="AA159" s="3"/>
      <c r="AB159" s="3"/>
      <c r="AC159" s="36"/>
      <c r="AD159" s="36"/>
      <c r="AE159" s="36"/>
      <c r="AF159" s="36"/>
      <c r="AG159" s="36"/>
      <c r="AH159" s="36"/>
      <c r="AI159" s="36"/>
      <c r="AJ159" s="36"/>
    </row>
    <row r="160" spans="15:41" x14ac:dyDescent="0.25">
      <c r="O160" s="36"/>
      <c r="P160" s="36"/>
      <c r="Q160" s="36"/>
      <c r="R160" s="36"/>
      <c r="S160" s="36"/>
      <c r="T160" s="36"/>
      <c r="U160" s="36"/>
      <c r="V160" s="36"/>
      <c r="W160" s="36"/>
      <c r="X160" s="36"/>
      <c r="Y160" s="36"/>
      <c r="Z160" s="36"/>
      <c r="AA160" s="3"/>
      <c r="AB160" s="3"/>
      <c r="AC160" s="36"/>
      <c r="AD160" s="36"/>
      <c r="AE160" s="36"/>
      <c r="AF160" s="36"/>
      <c r="AG160" s="36"/>
      <c r="AH160" s="36"/>
      <c r="AI160" s="36"/>
      <c r="AJ160" s="36"/>
      <c r="AK160" s="36"/>
      <c r="AL160" s="36"/>
      <c r="AM160" s="36"/>
      <c r="AO160" s="3"/>
    </row>
    <row r="161" spans="13:41" x14ac:dyDescent="0.25">
      <c r="O161" s="36"/>
      <c r="P161" s="36"/>
      <c r="Q161" s="36"/>
      <c r="R161" s="36"/>
      <c r="S161" s="36"/>
      <c r="T161" s="36"/>
      <c r="U161" s="36"/>
      <c r="V161" s="36"/>
      <c r="W161" s="36"/>
      <c r="X161" s="36"/>
      <c r="Y161" s="36"/>
      <c r="Z161" s="36"/>
      <c r="AA161" s="3"/>
      <c r="AB161" s="3"/>
      <c r="AF161" s="36"/>
      <c r="AK161" s="36"/>
      <c r="AL161" s="36"/>
      <c r="AM161" s="36"/>
      <c r="AO161" s="3"/>
    </row>
    <row r="162" spans="13:41" x14ac:dyDescent="0.25">
      <c r="O162" s="36"/>
      <c r="P162" s="36"/>
      <c r="Q162" s="36"/>
      <c r="R162" s="36"/>
      <c r="S162" s="36"/>
      <c r="T162" s="36"/>
      <c r="U162" s="36"/>
      <c r="V162" s="36"/>
      <c r="W162" s="36"/>
      <c r="X162" s="36"/>
      <c r="Y162" s="36"/>
      <c r="Z162" s="36"/>
      <c r="AA162" s="3"/>
      <c r="AB162" s="3"/>
    </row>
    <row r="163" spans="13:41" ht="15.75" thickBot="1" x14ac:dyDescent="0.3">
      <c r="O163" s="36"/>
      <c r="P163" s="36"/>
      <c r="Q163" s="36"/>
      <c r="R163" s="36"/>
      <c r="S163" s="36"/>
      <c r="T163" s="36"/>
      <c r="U163" s="36"/>
      <c r="V163" s="36"/>
      <c r="W163" s="36"/>
      <c r="X163" s="36"/>
      <c r="Y163" s="36"/>
      <c r="Z163" s="36"/>
      <c r="AA163" s="3"/>
      <c r="AB163" s="3"/>
    </row>
    <row r="164" spans="13:41" ht="15.75" thickBot="1" x14ac:dyDescent="0.3">
      <c r="AD164" s="119" t="s">
        <v>321</v>
      </c>
      <c r="AE164" s="121"/>
      <c r="AF164" s="122"/>
      <c r="AG164" s="115"/>
      <c r="AH164" s="1" t="s">
        <v>301</v>
      </c>
      <c r="AI164" s="134">
        <v>25</v>
      </c>
    </row>
    <row r="165" spans="13:41" x14ac:dyDescent="0.25">
      <c r="AD165" s="128" t="s">
        <v>316</v>
      </c>
      <c r="AE165" s="129"/>
      <c r="AF165" s="130">
        <v>30</v>
      </c>
      <c r="AG165" s="115"/>
      <c r="AH165" s="3"/>
      <c r="AI165" s="134">
        <f>AF165</f>
        <v>30</v>
      </c>
    </row>
    <row r="166" spans="13:41" x14ac:dyDescent="0.25">
      <c r="AD166" s="128" t="s">
        <v>322</v>
      </c>
      <c r="AE166" s="129"/>
      <c r="AF166" s="130">
        <v>7.5</v>
      </c>
      <c r="AG166" s="115"/>
      <c r="AH166" s="3"/>
      <c r="AI166" s="136">
        <f>AF166/AI164</f>
        <v>0.3</v>
      </c>
    </row>
    <row r="167" spans="13:41" x14ac:dyDescent="0.25">
      <c r="AD167" s="128" t="s">
        <v>317</v>
      </c>
      <c r="AE167" s="129"/>
      <c r="AF167" s="130">
        <v>10</v>
      </c>
      <c r="AG167" s="115"/>
      <c r="AH167" s="3"/>
      <c r="AI167" s="135">
        <f>AF167/SQRT(AI164)</f>
        <v>2</v>
      </c>
    </row>
    <row r="168" spans="13:41" ht="15.75" thickBot="1" x14ac:dyDescent="0.3">
      <c r="AD168" s="128" t="s">
        <v>318</v>
      </c>
      <c r="AE168" s="129"/>
      <c r="AF168" s="139">
        <v>1.5</v>
      </c>
      <c r="AG168" s="115"/>
      <c r="AH168" s="3"/>
      <c r="AI168" s="138">
        <f>AF168</f>
        <v>1.5</v>
      </c>
    </row>
    <row r="169" spans="13:41" ht="18.75" thickBot="1" x14ac:dyDescent="0.4">
      <c r="AD169" s="128" t="s">
        <v>319</v>
      </c>
      <c r="AE169" s="129"/>
      <c r="AF169" s="131">
        <v>0.75</v>
      </c>
      <c r="AG169" s="115"/>
      <c r="AH169" s="115"/>
      <c r="AI169" s="140">
        <f>AF169/AI164</f>
        <v>0.03</v>
      </c>
    </row>
    <row r="170" spans="13:41" x14ac:dyDescent="0.25">
      <c r="AD170" s="128" t="s">
        <v>320</v>
      </c>
      <c r="AE170" s="129"/>
      <c r="AF170" s="130">
        <v>1.6</v>
      </c>
      <c r="AG170" s="2"/>
      <c r="AH170" s="3"/>
      <c r="AI170" s="138">
        <f>AF170</f>
        <v>1.6</v>
      </c>
    </row>
    <row r="171" spans="13:41" x14ac:dyDescent="0.25">
      <c r="AD171" s="132" t="s">
        <v>309</v>
      </c>
      <c r="AE171" s="124"/>
      <c r="AF171" s="126"/>
      <c r="AG171" s="115"/>
      <c r="AH171" s="3"/>
      <c r="AI171" s="134"/>
    </row>
    <row r="172" spans="13:41" x14ac:dyDescent="0.25">
      <c r="M172" s="1" t="s">
        <v>137</v>
      </c>
      <c r="N172" s="2">
        <v>-0.3</v>
      </c>
      <c r="AD172" s="123" t="s">
        <v>310</v>
      </c>
      <c r="AE172" s="124"/>
      <c r="AF172" s="133">
        <f>1/AF168/SQRT(AF175*AF166/1.56/AF167/AF167)</f>
        <v>4.0682239136720284</v>
      </c>
      <c r="AG172" s="115"/>
      <c r="AH172" s="3"/>
      <c r="AI172" s="134"/>
    </row>
    <row r="173" spans="13:41" x14ac:dyDescent="0.25">
      <c r="M173" s="3" t="s">
        <v>161</v>
      </c>
      <c r="N173" s="3" t="s">
        <v>96</v>
      </c>
      <c r="AD173" s="132" t="s">
        <v>336</v>
      </c>
      <c r="AE173" s="124"/>
      <c r="AF173" s="125"/>
      <c r="AG173" s="115"/>
      <c r="AH173" s="3"/>
      <c r="AI173" s="134"/>
    </row>
    <row r="174" spans="13:41" x14ac:dyDescent="0.25">
      <c r="M174" s="3">
        <v>0</v>
      </c>
      <c r="N174" s="3">
        <f>N172</f>
        <v>-0.3</v>
      </c>
      <c r="S174" s="21"/>
      <c r="T174" s="21"/>
      <c r="AD174" s="123" t="s">
        <v>329</v>
      </c>
      <c r="AE174" s="124"/>
      <c r="AF174" s="148">
        <f>AF166/1.56/AF167/AF167</f>
        <v>4.8076923076923073E-2</v>
      </c>
      <c r="AG174" s="115"/>
      <c r="AH174" s="3"/>
      <c r="AI174" s="134"/>
    </row>
    <row r="175" spans="13:41" x14ac:dyDescent="0.25">
      <c r="M175" s="3">
        <v>15</v>
      </c>
      <c r="N175" s="3">
        <f>N172</f>
        <v>-0.3</v>
      </c>
      <c r="AD175" s="123" t="s">
        <v>291</v>
      </c>
      <c r="AE175" s="124"/>
      <c r="AF175" s="126">
        <f>0.12/AF174*(1-EXP(-4.7124*AF174*(1+11*POWER(1/AF165,1.333))))</f>
        <v>0.55856165746716757</v>
      </c>
      <c r="AG175" s="115"/>
      <c r="AH175" s="3"/>
      <c r="AI175" s="134"/>
    </row>
    <row r="176" spans="13:41" x14ac:dyDescent="0.25">
      <c r="AD176" s="132" t="s">
        <v>337</v>
      </c>
      <c r="AE176" s="124"/>
      <c r="AF176" s="125"/>
      <c r="AG176" s="115"/>
      <c r="AH176" s="115"/>
      <c r="AI176" s="134"/>
    </row>
    <row r="177" spans="1:42" x14ac:dyDescent="0.25">
      <c r="AD177" s="123" t="s">
        <v>292</v>
      </c>
      <c r="AE177" s="124"/>
      <c r="AF177" s="126">
        <f>0.06/AF169/AF169</f>
        <v>0.10666666666666667</v>
      </c>
      <c r="AG177" s="115"/>
      <c r="AH177" s="115"/>
      <c r="AI177" s="134"/>
    </row>
    <row r="178" spans="1:42" x14ac:dyDescent="0.25">
      <c r="M178" s="1" t="s">
        <v>137</v>
      </c>
      <c r="N178" s="2">
        <v>-0.5</v>
      </c>
      <c r="AD178" s="123" t="s">
        <v>290</v>
      </c>
      <c r="AE178" s="124"/>
      <c r="AF178" s="126">
        <f>-0.23/AF169</f>
        <v>-0.3066666666666667</v>
      </c>
      <c r="AG178" s="115"/>
      <c r="AH178" s="115"/>
      <c r="AI178" s="134"/>
    </row>
    <row r="179" spans="1:42" x14ac:dyDescent="0.25">
      <c r="M179" s="3" t="s">
        <v>161</v>
      </c>
      <c r="N179" s="3" t="s">
        <v>96</v>
      </c>
      <c r="AD179" s="123" t="s">
        <v>293</v>
      </c>
      <c r="AE179" s="124"/>
      <c r="AF179" s="126">
        <f>1.36-AF175/AF170*AF166/AF169</f>
        <v>-2.1310103591697969</v>
      </c>
      <c r="AG179" s="115"/>
      <c r="AH179" s="3"/>
      <c r="AI179" s="134"/>
    </row>
    <row r="180" spans="1:42" ht="17.25" x14ac:dyDescent="0.25">
      <c r="M180" s="3">
        <v>0</v>
      </c>
      <c r="N180" s="3">
        <f>N178</f>
        <v>-0.5</v>
      </c>
      <c r="AD180" s="127" t="s">
        <v>294</v>
      </c>
      <c r="AE180" s="124"/>
      <c r="AF180" s="126">
        <f>AF178*AF178-4*AF177*AF179</f>
        <v>1.0032755310235577</v>
      </c>
      <c r="AG180" s="134"/>
      <c r="AH180" s="3"/>
      <c r="AI180" s="115"/>
    </row>
    <row r="181" spans="1:42" x14ac:dyDescent="0.25">
      <c r="M181" s="3">
        <v>15</v>
      </c>
      <c r="N181" s="3">
        <f>N178</f>
        <v>-0.5</v>
      </c>
      <c r="AD181" s="123" t="s">
        <v>295</v>
      </c>
      <c r="AE181" s="124"/>
      <c r="AF181" s="126">
        <f>(-AF178-SQRT(AF180))/2/AF177</f>
        <v>-3.2576707495273101</v>
      </c>
      <c r="AG181" s="134"/>
      <c r="AH181" s="3"/>
      <c r="AI181" s="115"/>
    </row>
    <row r="182" spans="1:42" ht="18" x14ac:dyDescent="0.35">
      <c r="AD182" s="123" t="s">
        <v>297</v>
      </c>
      <c r="AE182" s="124"/>
      <c r="AF182" s="126">
        <f>AF181/AF169</f>
        <v>-4.343560999369747</v>
      </c>
      <c r="AG182" s="137" t="s">
        <v>304</v>
      </c>
      <c r="AH182" s="3"/>
      <c r="AI182" s="115" t="s">
        <v>313</v>
      </c>
    </row>
    <row r="183" spans="1:42" ht="18" x14ac:dyDescent="0.35">
      <c r="AD183" s="123" t="s">
        <v>299</v>
      </c>
      <c r="AE183" s="124"/>
      <c r="AF183" s="133">
        <f>AF167*AF175/AF170/AF169</f>
        <v>4.6546804788930629</v>
      </c>
      <c r="AG183" s="134"/>
      <c r="AH183" s="3"/>
      <c r="AI183" s="115"/>
    </row>
    <row r="184" spans="1:42" ht="18" x14ac:dyDescent="0.35">
      <c r="AD184" s="123" t="s">
        <v>300</v>
      </c>
      <c r="AE184" s="124"/>
      <c r="AF184" s="133">
        <f>AF167/AF170/AF169</f>
        <v>8.3333333333333339</v>
      </c>
      <c r="AG184" s="134"/>
      <c r="AH184" s="3"/>
      <c r="AI184" s="115"/>
    </row>
    <row r="185" spans="1:42" ht="18.75" thickBot="1" x14ac:dyDescent="0.4">
      <c r="AD185" s="123" t="s">
        <v>302</v>
      </c>
      <c r="AE185" s="124"/>
      <c r="AF185" s="126">
        <f>AF169/AF166</f>
        <v>0.1</v>
      </c>
      <c r="AG185" s="137" t="s">
        <v>305</v>
      </c>
      <c r="AH185" s="3"/>
      <c r="AI185" s="115" t="s">
        <v>313</v>
      </c>
    </row>
    <row r="186" spans="1:42" ht="15.75" thickBot="1" x14ac:dyDescent="0.3">
      <c r="AD186" s="119" t="s">
        <v>296</v>
      </c>
      <c r="AE186" s="50"/>
      <c r="AF186" s="120">
        <f>AF181/AF166</f>
        <v>-0.43435609993697466</v>
      </c>
      <c r="AG186" s="115"/>
      <c r="AH186" s="3"/>
      <c r="AI186" s="115"/>
    </row>
    <row r="188" spans="1:42" x14ac:dyDescent="0.25">
      <c r="AD188" s="65" t="s">
        <v>307</v>
      </c>
      <c r="AE188" s="36"/>
      <c r="AF188" s="36"/>
      <c r="AG188" s="115"/>
      <c r="AH188" s="3"/>
      <c r="AI188" s="115"/>
    </row>
    <row r="189" spans="1:42" x14ac:dyDescent="0.25">
      <c r="AD189" s="20" t="s">
        <v>308</v>
      </c>
      <c r="AE189" s="36"/>
      <c r="AF189" s="115"/>
      <c r="AG189" s="36"/>
      <c r="AH189" s="36"/>
    </row>
    <row r="190" spans="1:42" x14ac:dyDescent="0.25">
      <c r="AD190" s="36" t="s">
        <v>311</v>
      </c>
      <c r="AE190" s="36"/>
      <c r="AG190" s="36"/>
      <c r="AH190" s="115"/>
    </row>
    <row r="191" spans="1:42" x14ac:dyDescent="0.25">
      <c r="A191" s="36" t="s">
        <v>203</v>
      </c>
      <c r="AD191" t="s">
        <v>323</v>
      </c>
      <c r="AE191" s="36"/>
      <c r="AF191" s="36"/>
      <c r="AG191" s="36"/>
      <c r="AH191" s="115"/>
      <c r="AM191" s="115"/>
      <c r="AN191"/>
      <c r="AO191" s="115"/>
      <c r="AP191"/>
    </row>
    <row r="192" spans="1:42" x14ac:dyDescent="0.25">
      <c r="B192" t="s">
        <v>204</v>
      </c>
      <c r="AD192" s="9" t="s">
        <v>312</v>
      </c>
      <c r="AE192" s="9"/>
      <c r="AF192" s="9"/>
      <c r="AG192" s="9"/>
      <c r="AH192" s="9"/>
      <c r="AL192" s="115"/>
      <c r="AP192"/>
    </row>
    <row r="193" spans="1:36" x14ac:dyDescent="0.25">
      <c r="A193" t="s">
        <v>205</v>
      </c>
      <c r="AE193" s="36"/>
      <c r="AF193" s="36"/>
      <c r="AG193" s="36"/>
      <c r="AH193" s="115"/>
      <c r="AJ193" s="115"/>
    </row>
    <row r="194" spans="1:36" x14ac:dyDescent="0.25">
      <c r="B194" t="s">
        <v>206</v>
      </c>
      <c r="AJ194" s="115"/>
    </row>
    <row r="195" spans="1:36" x14ac:dyDescent="0.25">
      <c r="A195" t="s">
        <v>207</v>
      </c>
      <c r="AJ195" s="115"/>
    </row>
    <row r="196" spans="1:36" x14ac:dyDescent="0.25">
      <c r="AJ196" s="115"/>
    </row>
  </sheetData>
  <mergeCells count="8">
    <mergeCell ref="AH94:AK94"/>
    <mergeCell ref="AL94:AO94"/>
    <mergeCell ref="AH39:AK39"/>
    <mergeCell ref="AL39:AO39"/>
    <mergeCell ref="AH58:AK58"/>
    <mergeCell ref="AL58:AO58"/>
    <mergeCell ref="AH76:AK76"/>
    <mergeCell ref="AL76:AO76"/>
  </mergeCells>
  <pageMargins left="0.25" right="0.25" top="0.75" bottom="0.75" header="0.3" footer="0.3"/>
  <pageSetup paperSize="9" orientation="landscape"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topLeftCell="A86" workbookViewId="0">
      <selection activeCell="N87" sqref="N87"/>
    </sheetView>
  </sheetViews>
  <sheetFormatPr baseColWidth="10" defaultRowHeight="15" x14ac:dyDescent="0.25"/>
  <cols>
    <col min="4" max="4" width="12.140625" customWidth="1"/>
    <col min="11" max="11" width="11.42578125" customWidth="1"/>
  </cols>
  <sheetData>
    <row r="1" spans="1:21" x14ac:dyDescent="0.25">
      <c r="A1" t="s">
        <v>265</v>
      </c>
    </row>
    <row r="2" spans="1:21" s="36" customFormat="1" x14ac:dyDescent="0.25">
      <c r="A2" s="36" t="s">
        <v>254</v>
      </c>
    </row>
    <row r="3" spans="1:21" s="36" customFormat="1" x14ac:dyDescent="0.25">
      <c r="A3" s="2" t="s">
        <v>267</v>
      </c>
      <c r="C3" s="96" t="s">
        <v>261</v>
      </c>
      <c r="D3" s="29">
        <v>1.5</v>
      </c>
      <c r="E3" s="36" t="s">
        <v>306</v>
      </c>
    </row>
    <row r="4" spans="1:21" x14ac:dyDescent="0.25">
      <c r="A4" t="s">
        <v>256</v>
      </c>
      <c r="H4" s="2"/>
    </row>
    <row r="5" spans="1:21" s="36" customFormat="1" ht="17.25" x14ac:dyDescent="0.25">
      <c r="B5" s="36" t="s">
        <v>263</v>
      </c>
    </row>
    <row r="6" spans="1:21" s="36" customFormat="1" x14ac:dyDescent="0.25">
      <c r="B6" s="36" t="s">
        <v>258</v>
      </c>
      <c r="C6" s="36">
        <v>3.7</v>
      </c>
      <c r="D6" s="36" t="s">
        <v>268</v>
      </c>
    </row>
    <row r="7" spans="1:21" s="36" customFormat="1" x14ac:dyDescent="0.25">
      <c r="B7" s="36" t="s">
        <v>260</v>
      </c>
      <c r="C7" s="142">
        <v>0.2</v>
      </c>
      <c r="D7" s="36" t="s">
        <v>257</v>
      </c>
    </row>
    <row r="8" spans="1:21" s="36" customFormat="1" x14ac:dyDescent="0.25">
      <c r="B8" s="1" t="s">
        <v>259</v>
      </c>
      <c r="C8" s="97">
        <f>C6*SQRT(C7/1.56)*D3</f>
        <v>1.9872187754594264</v>
      </c>
      <c r="D8" s="36" t="s">
        <v>262</v>
      </c>
    </row>
    <row r="9" spans="1:21" s="36" customFormat="1" ht="17.25" x14ac:dyDescent="0.25">
      <c r="B9" s="36" t="s">
        <v>255</v>
      </c>
      <c r="C9" s="97">
        <f>1.56*C8*C8</f>
        <v>6.1605000000000016</v>
      </c>
      <c r="D9" s="36" t="s">
        <v>257</v>
      </c>
    </row>
    <row r="10" spans="1:21" s="36" customFormat="1" x14ac:dyDescent="0.25">
      <c r="A10" s="36" t="s">
        <v>266</v>
      </c>
      <c r="C10" s="97"/>
    </row>
    <row r="11" spans="1:21" s="36" customFormat="1" x14ac:dyDescent="0.25"/>
    <row r="12" spans="1:21" x14ac:dyDescent="0.25">
      <c r="E12" s="36"/>
      <c r="F12" s="36"/>
      <c r="G12" s="36"/>
      <c r="H12" s="36"/>
      <c r="I12" s="36"/>
      <c r="J12" s="36"/>
      <c r="K12" s="36"/>
      <c r="L12" s="36"/>
      <c r="M12" s="36"/>
      <c r="N12" s="36"/>
      <c r="O12" s="105" t="s">
        <v>315</v>
      </c>
      <c r="P12" s="106"/>
      <c r="Q12" s="106"/>
      <c r="R12" s="106"/>
      <c r="S12" s="106"/>
      <c r="T12" s="106"/>
      <c r="U12" s="98"/>
    </row>
    <row r="13" spans="1:21" ht="17.25" x14ac:dyDescent="0.25">
      <c r="A13" s="36"/>
      <c r="F13" s="36"/>
      <c r="G13" s="216" t="s">
        <v>269</v>
      </c>
      <c r="H13" s="217"/>
      <c r="I13" s="218"/>
      <c r="J13" s="43"/>
      <c r="K13" s="36"/>
      <c r="L13" s="36"/>
      <c r="M13" s="36"/>
      <c r="N13" s="36"/>
      <c r="O13" s="67" t="s">
        <v>264</v>
      </c>
      <c r="P13" s="107"/>
      <c r="Q13" s="107"/>
      <c r="R13" s="107"/>
      <c r="S13" s="107"/>
      <c r="T13" s="107"/>
      <c r="U13" s="102"/>
    </row>
    <row r="14" spans="1:21" ht="17.25" x14ac:dyDescent="0.25">
      <c r="A14" s="117" t="s">
        <v>324</v>
      </c>
      <c r="B14" s="95" t="s">
        <v>143</v>
      </c>
      <c r="C14" s="95" t="s">
        <v>219</v>
      </c>
      <c r="D14" s="95" t="s">
        <v>141</v>
      </c>
      <c r="E14" s="95" t="s">
        <v>253</v>
      </c>
      <c r="F14" s="95" t="s">
        <v>274</v>
      </c>
      <c r="G14" s="18" t="s">
        <v>7</v>
      </c>
      <c r="H14" s="104" t="s">
        <v>32</v>
      </c>
      <c r="I14" s="143" t="s">
        <v>8</v>
      </c>
      <c r="J14" s="43" t="s">
        <v>273</v>
      </c>
      <c r="K14" s="95" t="s">
        <v>13</v>
      </c>
      <c r="L14" s="95" t="s">
        <v>96</v>
      </c>
      <c r="M14" s="95" t="s">
        <v>49</v>
      </c>
      <c r="N14" s="95" t="s">
        <v>12</v>
      </c>
      <c r="O14" s="92" t="s">
        <v>230</v>
      </c>
      <c r="P14" s="103" t="s">
        <v>229</v>
      </c>
      <c r="Q14" s="103" t="s">
        <v>228</v>
      </c>
      <c r="R14" s="103" t="s">
        <v>227</v>
      </c>
      <c r="S14" s="103" t="s">
        <v>8</v>
      </c>
      <c r="T14" s="103" t="s">
        <v>13</v>
      </c>
      <c r="U14" s="109" t="s">
        <v>96</v>
      </c>
    </row>
    <row r="15" spans="1:21" x14ac:dyDescent="0.25">
      <c r="A15" s="117">
        <v>1.1000000000000001</v>
      </c>
      <c r="B15" s="4">
        <v>0.3</v>
      </c>
      <c r="C15" s="4">
        <v>0.2</v>
      </c>
      <c r="D15" s="108">
        <v>0.02</v>
      </c>
      <c r="E15" s="95">
        <v>1.6</v>
      </c>
      <c r="F15" s="95">
        <v>0.66700000000000004</v>
      </c>
      <c r="G15" s="93">
        <v>0.2</v>
      </c>
      <c r="H15" s="101">
        <v>2</v>
      </c>
      <c r="I15" s="144">
        <v>-0.17</v>
      </c>
      <c r="J15" s="101">
        <f t="shared" ref="J15:J23" si="0">F15/SQRT(G15/1.56/H15/H15)</f>
        <v>3.7256592436775531</v>
      </c>
      <c r="K15" s="73">
        <f t="shared" ref="K15:K23" si="1">I15/D15</f>
        <v>-8.5</v>
      </c>
      <c r="L15" s="4">
        <f>I15/B15</f>
        <v>-0.56666666666666676</v>
      </c>
      <c r="M15" s="95">
        <f t="shared" ref="M15:M23" si="2">G15/E15/D15</f>
        <v>6.25</v>
      </c>
      <c r="N15" s="200">
        <f>B15/E15/D15</f>
        <v>9.3749999999999982</v>
      </c>
      <c r="O15" s="93">
        <f t="shared" ref="O15:O23" si="3">0.06/D15/D15</f>
        <v>150</v>
      </c>
      <c r="P15" s="100">
        <f t="shared" ref="P15:P23" si="4">-0.23/D15</f>
        <v>-11.5</v>
      </c>
      <c r="Q15" s="100">
        <f t="shared" ref="Q15:Q23" si="5">1.36-G15/E15/D15</f>
        <v>-4.8899999999999997</v>
      </c>
      <c r="R15" s="100">
        <f>P15*P15-4*O15*Q15</f>
        <v>3066.25</v>
      </c>
      <c r="S15" s="100">
        <f>(-P15-SQRT(R15))/2/O15</f>
        <v>-0.14624576744582976</v>
      </c>
      <c r="T15" s="101">
        <f t="shared" ref="T15:T23" si="6">S15/D15</f>
        <v>-7.312288372291488</v>
      </c>
      <c r="U15" s="110">
        <f>T15*D15/B15</f>
        <v>-0.48748589148609922</v>
      </c>
    </row>
    <row r="16" spans="1:21" x14ac:dyDescent="0.25">
      <c r="A16" s="117">
        <v>1.2</v>
      </c>
      <c r="B16" s="4">
        <v>0.3</v>
      </c>
      <c r="C16" s="4">
        <v>0.3</v>
      </c>
      <c r="D16" s="108">
        <v>0.02</v>
      </c>
      <c r="E16" s="95">
        <v>1.6</v>
      </c>
      <c r="F16" s="95">
        <v>0.66700000000000004</v>
      </c>
      <c r="G16" s="93">
        <v>0.2</v>
      </c>
      <c r="H16" s="101">
        <v>2</v>
      </c>
      <c r="I16" s="144">
        <v>-0.17</v>
      </c>
      <c r="J16" s="101">
        <f t="shared" si="0"/>
        <v>3.7256592436775531</v>
      </c>
      <c r="K16" s="73">
        <f t="shared" si="1"/>
        <v>-8.5</v>
      </c>
      <c r="L16" s="4">
        <f>I16/B16</f>
        <v>-0.56666666666666676</v>
      </c>
      <c r="M16" s="95">
        <f t="shared" si="2"/>
        <v>6.25</v>
      </c>
      <c r="N16" s="200">
        <f>B16/E16/D16</f>
        <v>9.3749999999999982</v>
      </c>
      <c r="O16" s="93">
        <f t="shared" si="3"/>
        <v>150</v>
      </c>
      <c r="P16" s="100">
        <f t="shared" si="4"/>
        <v>-11.5</v>
      </c>
      <c r="Q16" s="100">
        <f t="shared" si="5"/>
        <v>-4.8899999999999997</v>
      </c>
      <c r="R16" s="100">
        <f>P16*P16-4*O16*Q16</f>
        <v>3066.25</v>
      </c>
      <c r="S16" s="100">
        <f>(-P16-SQRT(R16))/2/O16</f>
        <v>-0.14624576744582976</v>
      </c>
      <c r="T16" s="101">
        <f t="shared" si="6"/>
        <v>-7.312288372291488</v>
      </c>
      <c r="U16" s="110">
        <f>T16*D16/B16</f>
        <v>-0.48748589148609922</v>
      </c>
    </row>
    <row r="17" spans="1:21" x14ac:dyDescent="0.25">
      <c r="A17" s="170" t="s">
        <v>416</v>
      </c>
      <c r="B17" s="113">
        <v>0.48</v>
      </c>
      <c r="C17" s="113">
        <v>0.55000000000000004</v>
      </c>
      <c r="D17" s="171">
        <v>7.0000000000000001E-3</v>
      </c>
      <c r="E17" s="170">
        <v>1.6</v>
      </c>
      <c r="F17" s="170">
        <v>0.66700000000000004</v>
      </c>
      <c r="G17" s="172">
        <v>0.08</v>
      </c>
      <c r="H17" s="173">
        <v>1.35</v>
      </c>
      <c r="I17" s="174">
        <v>-9.6000000000000002E-2</v>
      </c>
      <c r="J17" s="173">
        <f t="shared" si="0"/>
        <v>3.9762795360424557</v>
      </c>
      <c r="K17" s="75">
        <f t="shared" si="1"/>
        <v>-13.714285714285714</v>
      </c>
      <c r="L17" s="113"/>
      <c r="M17" s="75">
        <f t="shared" si="2"/>
        <v>7.1428571428571423</v>
      </c>
      <c r="N17" s="75">
        <f>M17/0.6</f>
        <v>11.904761904761905</v>
      </c>
      <c r="O17" s="172">
        <f t="shared" si="3"/>
        <v>1224.4897959183672</v>
      </c>
      <c r="P17" s="175">
        <f t="shared" si="4"/>
        <v>-32.857142857142861</v>
      </c>
      <c r="Q17" s="175">
        <f t="shared" si="5"/>
        <v>-5.782857142857142</v>
      </c>
      <c r="R17" s="175">
        <f>P17*P17-4*O17*Q17</f>
        <v>29403.790087463549</v>
      </c>
      <c r="S17" s="175">
        <f>(-P17-SQRT(R17))/2/O17</f>
        <v>-5.6602427951238175E-2</v>
      </c>
      <c r="T17" s="173">
        <f t="shared" si="6"/>
        <v>-8.0860611358911676</v>
      </c>
      <c r="U17" s="174"/>
    </row>
    <row r="18" spans="1:21" x14ac:dyDescent="0.25">
      <c r="A18" s="117">
        <v>2.1</v>
      </c>
      <c r="B18" s="4">
        <v>0.3</v>
      </c>
      <c r="C18" s="4">
        <v>0.2</v>
      </c>
      <c r="D18" s="108">
        <v>0.01</v>
      </c>
      <c r="E18" s="95">
        <v>1.6</v>
      </c>
      <c r="F18" s="95">
        <v>0.66700000000000004</v>
      </c>
      <c r="G18" s="93">
        <v>0.2</v>
      </c>
      <c r="H18" s="101">
        <v>2</v>
      </c>
      <c r="I18" s="144">
        <v>-0.24</v>
      </c>
      <c r="J18" s="101">
        <f t="shared" si="0"/>
        <v>3.7256592436775531</v>
      </c>
      <c r="K18" s="73">
        <f t="shared" si="1"/>
        <v>-24</v>
      </c>
      <c r="L18" s="4">
        <f t="shared" ref="L18:L23" si="7">I18/B18</f>
        <v>-0.8</v>
      </c>
      <c r="M18" s="95">
        <f t="shared" si="2"/>
        <v>12.5</v>
      </c>
      <c r="N18" s="73">
        <f t="shared" ref="N18:N23" si="8">B18/E18/D18</f>
        <v>18.749999999999996</v>
      </c>
      <c r="O18" s="93">
        <f t="shared" si="3"/>
        <v>600</v>
      </c>
      <c r="P18" s="100">
        <f t="shared" si="4"/>
        <v>-23</v>
      </c>
      <c r="Q18" s="100">
        <f t="shared" si="5"/>
        <v>-11.14</v>
      </c>
      <c r="R18" s="100">
        <f t="shared" ref="R18:R23" si="9">P18*P18-4*O18*Q18</f>
        <v>27265</v>
      </c>
      <c r="S18" s="100">
        <f t="shared" ref="S18:S23" si="10">(-P18-SQRT(R18))/2/O18</f>
        <v>-0.11843430635960876</v>
      </c>
      <c r="T18" s="101">
        <f t="shared" si="6"/>
        <v>-11.843430635960877</v>
      </c>
      <c r="U18" s="110">
        <f t="shared" ref="U18:U23" si="11">T18*D18/B18</f>
        <v>-0.3947810211986959</v>
      </c>
    </row>
    <row r="19" spans="1:21" x14ac:dyDescent="0.25">
      <c r="A19" s="117">
        <v>2.2000000000000002</v>
      </c>
      <c r="B19" s="4">
        <v>0.3</v>
      </c>
      <c r="C19" s="4">
        <v>0.3</v>
      </c>
      <c r="D19" s="108">
        <v>0.01</v>
      </c>
      <c r="E19" s="95">
        <v>1.6</v>
      </c>
      <c r="F19" s="95">
        <v>0.66700000000000004</v>
      </c>
      <c r="G19" s="93">
        <v>0.2</v>
      </c>
      <c r="H19" s="101">
        <v>2</v>
      </c>
      <c r="I19" s="144">
        <v>-0.24</v>
      </c>
      <c r="J19" s="101">
        <f t="shared" si="0"/>
        <v>3.7256592436775531</v>
      </c>
      <c r="K19" s="73">
        <f t="shared" si="1"/>
        <v>-24</v>
      </c>
      <c r="L19" s="4">
        <f t="shared" si="7"/>
        <v>-0.8</v>
      </c>
      <c r="M19" s="95">
        <f t="shared" si="2"/>
        <v>12.5</v>
      </c>
      <c r="N19" s="73">
        <f t="shared" si="8"/>
        <v>18.749999999999996</v>
      </c>
      <c r="O19" s="93">
        <f t="shared" si="3"/>
        <v>600</v>
      </c>
      <c r="P19" s="100">
        <f t="shared" si="4"/>
        <v>-23</v>
      </c>
      <c r="Q19" s="100">
        <f t="shared" si="5"/>
        <v>-11.14</v>
      </c>
      <c r="R19" s="100">
        <f t="shared" si="9"/>
        <v>27265</v>
      </c>
      <c r="S19" s="100">
        <f t="shared" si="10"/>
        <v>-0.11843430635960876</v>
      </c>
      <c r="T19" s="101">
        <f t="shared" si="6"/>
        <v>-11.843430635960877</v>
      </c>
      <c r="U19" s="110">
        <f t="shared" si="11"/>
        <v>-0.3947810211986959</v>
      </c>
    </row>
    <row r="20" spans="1:21" x14ac:dyDescent="0.25">
      <c r="A20" s="202" t="s">
        <v>502</v>
      </c>
      <c r="B20" s="113">
        <v>0.25</v>
      </c>
      <c r="C20" s="113">
        <v>0.04</v>
      </c>
      <c r="D20" s="171">
        <v>5.0000000000000001E-3</v>
      </c>
      <c r="E20" s="170">
        <v>1.65</v>
      </c>
      <c r="F20" s="170">
        <v>0.66700000000000004</v>
      </c>
      <c r="G20" s="172">
        <v>0.15</v>
      </c>
      <c r="H20" s="173">
        <v>2.5</v>
      </c>
      <c r="I20" s="174">
        <v>-0.215</v>
      </c>
      <c r="J20" s="173">
        <f t="shared" si="0"/>
        <v>5.3775259181151336</v>
      </c>
      <c r="K20" s="75">
        <f t="shared" si="1"/>
        <v>-43</v>
      </c>
      <c r="L20" s="113">
        <f t="shared" si="7"/>
        <v>-0.86</v>
      </c>
      <c r="M20" s="75">
        <f t="shared" si="2"/>
        <v>18.181818181818183</v>
      </c>
      <c r="N20" s="75">
        <f t="shared" si="8"/>
        <v>30.303030303030305</v>
      </c>
      <c r="O20" s="172">
        <f t="shared" si="3"/>
        <v>2400</v>
      </c>
      <c r="P20" s="175">
        <f t="shared" si="4"/>
        <v>-46</v>
      </c>
      <c r="Q20" s="175">
        <f t="shared" si="5"/>
        <v>-16.821818181818184</v>
      </c>
      <c r="R20" s="175">
        <f t="shared" si="9"/>
        <v>163605.45454545456</v>
      </c>
      <c r="S20" s="175">
        <f t="shared" si="10"/>
        <v>-7.4683689794748556E-2</v>
      </c>
      <c r="T20" s="173">
        <f t="shared" si="6"/>
        <v>-14.936737958949712</v>
      </c>
      <c r="U20" s="174">
        <f t="shared" si="11"/>
        <v>-0.29873475917899422</v>
      </c>
    </row>
    <row r="21" spans="1:21" s="36" customFormat="1" x14ac:dyDescent="0.25">
      <c r="A21" s="202" t="s">
        <v>503</v>
      </c>
      <c r="B21" s="113">
        <v>0.2</v>
      </c>
      <c r="C21" s="113">
        <v>0.04</v>
      </c>
      <c r="D21" s="171">
        <v>5.0000000000000001E-3</v>
      </c>
      <c r="E21" s="170">
        <v>1.65</v>
      </c>
      <c r="F21" s="170">
        <v>0.66700000000000004</v>
      </c>
      <c r="G21" s="172">
        <v>0.13800000000000001</v>
      </c>
      <c r="H21" s="173">
        <v>2.5</v>
      </c>
      <c r="I21" s="174">
        <v>-0.17</v>
      </c>
      <c r="J21" s="173">
        <f t="shared" ref="J21" si="12">F21/SQRT(G21/1.56/H21/H21)</f>
        <v>5.6064583294625496</v>
      </c>
      <c r="K21" s="75">
        <f t="shared" ref="K21" si="13">I21/D21</f>
        <v>-34</v>
      </c>
      <c r="L21" s="113">
        <f t="shared" si="7"/>
        <v>-0.85</v>
      </c>
      <c r="M21" s="75">
        <f t="shared" ref="M21" si="14">G21/E21/D21</f>
        <v>16.72727272727273</v>
      </c>
      <c r="N21" s="75">
        <f t="shared" si="8"/>
        <v>24.242424242424246</v>
      </c>
      <c r="O21" s="172">
        <f t="shared" ref="O21" si="15">0.06/D21/D21</f>
        <v>2400</v>
      </c>
      <c r="P21" s="175">
        <f t="shared" ref="P21" si="16">-0.23/D21</f>
        <v>-46</v>
      </c>
      <c r="Q21" s="175">
        <f t="shared" ref="Q21" si="17">1.36-G21/E21/D21</f>
        <v>-15.367272727272731</v>
      </c>
      <c r="R21" s="175">
        <f t="shared" ref="R21" si="18">P21*P21-4*O21*Q21</f>
        <v>149641.81818181821</v>
      </c>
      <c r="S21" s="175">
        <f t="shared" ref="S21" si="19">(-P21-SQRT(R21))/2/O21</f>
        <v>-7.1007426563866313E-2</v>
      </c>
      <c r="T21" s="173">
        <f t="shared" ref="T21" si="20">S21/D21</f>
        <v>-14.201485312773263</v>
      </c>
      <c r="U21" s="174">
        <f t="shared" si="11"/>
        <v>-0.35503713281933152</v>
      </c>
    </row>
    <row r="22" spans="1:21" x14ac:dyDescent="0.25">
      <c r="A22" s="117">
        <v>3.1</v>
      </c>
      <c r="B22" s="4">
        <v>0.3</v>
      </c>
      <c r="C22" s="4">
        <v>0.2</v>
      </c>
      <c r="D22" s="108">
        <v>5.0000000000000001E-3</v>
      </c>
      <c r="E22" s="95">
        <v>1.6</v>
      </c>
      <c r="F22" s="95">
        <v>0.66700000000000004</v>
      </c>
      <c r="G22" s="93">
        <v>0.2</v>
      </c>
      <c r="H22" s="101">
        <v>2</v>
      </c>
      <c r="I22" s="144">
        <v>-0.27</v>
      </c>
      <c r="J22" s="101">
        <f t="shared" si="0"/>
        <v>3.7256592436775531</v>
      </c>
      <c r="K22" s="73">
        <f t="shared" si="1"/>
        <v>-54</v>
      </c>
      <c r="L22" s="4">
        <f t="shared" si="7"/>
        <v>-0.90000000000000013</v>
      </c>
      <c r="M22" s="95">
        <f t="shared" si="2"/>
        <v>25</v>
      </c>
      <c r="N22" s="95">
        <f t="shared" si="8"/>
        <v>37.499999999999993</v>
      </c>
      <c r="O22" s="93">
        <f t="shared" si="3"/>
        <v>2400</v>
      </c>
      <c r="P22" s="100">
        <f t="shared" si="4"/>
        <v>-46</v>
      </c>
      <c r="Q22" s="100">
        <f t="shared" si="5"/>
        <v>-23.64</v>
      </c>
      <c r="R22" s="100">
        <f t="shared" si="9"/>
        <v>229060</v>
      </c>
      <c r="S22" s="100">
        <f t="shared" si="10"/>
        <v>-9.0125444002354504E-2</v>
      </c>
      <c r="T22" s="101">
        <f t="shared" si="6"/>
        <v>-18.0250888004709</v>
      </c>
      <c r="U22" s="110">
        <f t="shared" si="11"/>
        <v>-0.30041814667451505</v>
      </c>
    </row>
    <row r="23" spans="1:21" x14ac:dyDescent="0.25">
      <c r="A23" s="117">
        <v>3.2</v>
      </c>
      <c r="B23" s="4">
        <v>0.3</v>
      </c>
      <c r="C23" s="4">
        <v>0.3</v>
      </c>
      <c r="D23" s="108">
        <v>5.0000000000000001E-3</v>
      </c>
      <c r="E23" s="95">
        <v>1.6</v>
      </c>
      <c r="F23" s="95">
        <v>0.66700000000000004</v>
      </c>
      <c r="G23" s="94">
        <v>0.2</v>
      </c>
      <c r="H23" s="111">
        <v>2</v>
      </c>
      <c r="I23" s="145">
        <v>-0.27</v>
      </c>
      <c r="J23" s="101">
        <f t="shared" si="0"/>
        <v>3.7256592436775531</v>
      </c>
      <c r="K23" s="73">
        <f t="shared" si="1"/>
        <v>-54</v>
      </c>
      <c r="L23" s="4">
        <f t="shared" si="7"/>
        <v>-0.90000000000000013</v>
      </c>
      <c r="M23" s="95">
        <f t="shared" si="2"/>
        <v>25</v>
      </c>
      <c r="N23" s="95">
        <f t="shared" si="8"/>
        <v>37.499999999999993</v>
      </c>
      <c r="O23" s="94">
        <f t="shared" si="3"/>
        <v>2400</v>
      </c>
      <c r="P23" s="99">
        <f t="shared" si="4"/>
        <v>-46</v>
      </c>
      <c r="Q23" s="99">
        <f t="shared" si="5"/>
        <v>-23.64</v>
      </c>
      <c r="R23" s="99">
        <f t="shared" si="9"/>
        <v>229060</v>
      </c>
      <c r="S23" s="99">
        <f t="shared" si="10"/>
        <v>-9.0125444002354504E-2</v>
      </c>
      <c r="T23" s="111">
        <f t="shared" si="6"/>
        <v>-18.0250888004709</v>
      </c>
      <c r="U23" s="112">
        <f t="shared" si="11"/>
        <v>-0.30041814667451505</v>
      </c>
    </row>
    <row r="24" spans="1:21" x14ac:dyDescent="0.25">
      <c r="A24" s="4"/>
      <c r="B24" s="4"/>
      <c r="C24" s="95"/>
      <c r="D24" s="95"/>
      <c r="E24" s="95"/>
      <c r="F24" s="95"/>
      <c r="G24" s="95"/>
      <c r="H24" s="95"/>
      <c r="I24" s="146" t="s">
        <v>325</v>
      </c>
      <c r="J24" s="100"/>
      <c r="K24" s="100"/>
      <c r="L24" s="100"/>
      <c r="M24" s="100"/>
      <c r="N24" s="101"/>
      <c r="O24" s="4"/>
    </row>
    <row r="26" spans="1:21" x14ac:dyDescent="0.25">
      <c r="A26" s="10" t="s">
        <v>275</v>
      </c>
    </row>
    <row r="27" spans="1:21" x14ac:dyDescent="0.25">
      <c r="A27" t="s">
        <v>314</v>
      </c>
    </row>
    <row r="28" spans="1:21" x14ac:dyDescent="0.25">
      <c r="A28" t="s">
        <v>276</v>
      </c>
    </row>
    <row r="29" spans="1:21" x14ac:dyDescent="0.25">
      <c r="A29" t="s">
        <v>277</v>
      </c>
    </row>
    <row r="30" spans="1:21" x14ac:dyDescent="0.25">
      <c r="A30" t="s">
        <v>278</v>
      </c>
    </row>
    <row r="35" spans="1:11" x14ac:dyDescent="0.25">
      <c r="A35" s="12" t="s">
        <v>130</v>
      </c>
      <c r="B35" s="118">
        <v>-1.6</v>
      </c>
      <c r="C35" s="36"/>
      <c r="D35" s="1" t="s">
        <v>133</v>
      </c>
      <c r="E35" s="1">
        <f>B36</f>
        <v>3.45</v>
      </c>
      <c r="F35" s="36"/>
      <c r="G35" s="1">
        <f>B35</f>
        <v>-1.6</v>
      </c>
      <c r="H35" s="36" t="s">
        <v>12</v>
      </c>
      <c r="I35" s="36"/>
      <c r="J35" s="36" t="s">
        <v>157</v>
      </c>
      <c r="K35" s="36"/>
    </row>
    <row r="36" spans="1:11" x14ac:dyDescent="0.25">
      <c r="A36" s="14" t="s">
        <v>131</v>
      </c>
      <c r="B36" s="17">
        <v>3.45</v>
      </c>
      <c r="C36" s="36"/>
      <c r="D36" s="52" t="s">
        <v>134</v>
      </c>
      <c r="E36" s="52">
        <f>B36</f>
        <v>3.45</v>
      </c>
      <c r="F36" s="53" t="s">
        <v>135</v>
      </c>
      <c r="G36" s="53">
        <f>B35</f>
        <v>-1.6</v>
      </c>
      <c r="H36" s="53" t="s">
        <v>136</v>
      </c>
      <c r="I36" s="36"/>
      <c r="J36" s="36" t="s">
        <v>156</v>
      </c>
      <c r="K36" s="36"/>
    </row>
    <row r="37" spans="1:11" ht="15.75" thickBot="1" x14ac:dyDescent="0.3">
      <c r="A37" s="16" t="s">
        <v>13</v>
      </c>
      <c r="B37" s="17" t="s">
        <v>12</v>
      </c>
      <c r="C37" s="36"/>
      <c r="D37" s="1" t="s">
        <v>137</v>
      </c>
      <c r="E37" s="36">
        <f>B36</f>
        <v>3.45</v>
      </c>
      <c r="F37" s="36" t="s">
        <v>139</v>
      </c>
      <c r="G37" s="36">
        <f>B35</f>
        <v>-1.6</v>
      </c>
      <c r="H37" s="36" t="s">
        <v>138</v>
      </c>
      <c r="I37" s="36"/>
      <c r="J37" s="36"/>
      <c r="K37" s="36"/>
    </row>
    <row r="38" spans="1:11" ht="15.75" thickBot="1" x14ac:dyDescent="0.3">
      <c r="A38" s="16">
        <f>B38*$B$35+$B$36</f>
        <v>-2.95</v>
      </c>
      <c r="B38" s="17">
        <v>4</v>
      </c>
      <c r="C38" s="36"/>
      <c r="D38" s="49" t="s">
        <v>137</v>
      </c>
      <c r="E38" s="50">
        <f>B36</f>
        <v>3.45</v>
      </c>
      <c r="F38" s="50" t="s">
        <v>139</v>
      </c>
      <c r="G38" s="50">
        <f>B35/1.6</f>
        <v>-1</v>
      </c>
      <c r="H38" s="51"/>
      <c r="I38" s="36" t="s">
        <v>140</v>
      </c>
      <c r="J38" s="20" t="s">
        <v>505</v>
      </c>
      <c r="K38" s="36"/>
    </row>
    <row r="39" spans="1:11" x14ac:dyDescent="0.25">
      <c r="A39" s="18">
        <f>B39*$B$35+$B$36</f>
        <v>-60.55</v>
      </c>
      <c r="B39" s="19">
        <v>40</v>
      </c>
      <c r="C39" s="36"/>
      <c r="D39" s="60" t="s">
        <v>506</v>
      </c>
      <c r="E39" s="10"/>
      <c r="F39" s="10" t="s">
        <v>518</v>
      </c>
      <c r="G39" s="36"/>
      <c r="H39" s="36"/>
      <c r="I39" s="36"/>
      <c r="J39" s="36"/>
      <c r="K39" s="36"/>
    </row>
    <row r="40" spans="1:11" x14ac:dyDescent="0.25">
      <c r="I40" t="s">
        <v>326</v>
      </c>
    </row>
    <row r="41" spans="1:11" x14ac:dyDescent="0.25">
      <c r="I41" t="s">
        <v>327</v>
      </c>
    </row>
    <row r="42" spans="1:11" x14ac:dyDescent="0.25">
      <c r="I42" t="s">
        <v>328</v>
      </c>
    </row>
    <row r="45" spans="1:11" x14ac:dyDescent="0.25">
      <c r="I45" t="s">
        <v>371</v>
      </c>
    </row>
    <row r="46" spans="1:11" x14ac:dyDescent="0.25">
      <c r="I46" t="s">
        <v>372</v>
      </c>
    </row>
    <row r="47" spans="1:11" x14ac:dyDescent="0.25">
      <c r="I47" t="s">
        <v>504</v>
      </c>
    </row>
    <row r="48" spans="1:11" x14ac:dyDescent="0.25">
      <c r="I48" t="s">
        <v>373</v>
      </c>
    </row>
    <row r="49" spans="9:12" x14ac:dyDescent="0.25">
      <c r="I49" t="s">
        <v>378</v>
      </c>
    </row>
    <row r="51" spans="9:12" x14ac:dyDescent="0.25">
      <c r="I51" t="s">
        <v>379</v>
      </c>
    </row>
    <row r="52" spans="9:12" x14ac:dyDescent="0.25">
      <c r="I52" s="36" t="s">
        <v>376</v>
      </c>
    </row>
    <row r="53" spans="9:12" x14ac:dyDescent="0.25">
      <c r="I53" t="s">
        <v>374</v>
      </c>
    </row>
    <row r="54" spans="9:12" x14ac:dyDescent="0.25">
      <c r="I54" t="s">
        <v>375</v>
      </c>
    </row>
    <row r="55" spans="9:12" x14ac:dyDescent="0.25">
      <c r="I55" s="36" t="s">
        <v>377</v>
      </c>
    </row>
    <row r="60" spans="9:12" x14ac:dyDescent="0.25">
      <c r="I60" s="124"/>
      <c r="J60" s="124"/>
      <c r="K60" s="124"/>
      <c r="L60" s="124"/>
    </row>
    <row r="66" spans="1:13" x14ac:dyDescent="0.25">
      <c r="A66" s="1" t="s">
        <v>144</v>
      </c>
      <c r="B66" s="2">
        <v>0.25</v>
      </c>
      <c r="C66" s="36"/>
      <c r="D66" s="1" t="s">
        <v>145</v>
      </c>
      <c r="E66" s="2">
        <v>0.5</v>
      </c>
      <c r="F66" s="4"/>
      <c r="G66" s="36"/>
      <c r="H66" s="1" t="s">
        <v>144</v>
      </c>
      <c r="I66" s="2">
        <v>1</v>
      </c>
      <c r="J66" s="4"/>
      <c r="K66" s="1" t="s">
        <v>144</v>
      </c>
      <c r="L66" s="2">
        <v>1.5</v>
      </c>
      <c r="M66" s="4"/>
    </row>
    <row r="67" spans="1:13" x14ac:dyDescent="0.25">
      <c r="A67" s="147" t="s">
        <v>143</v>
      </c>
      <c r="B67" s="147" t="s">
        <v>8</v>
      </c>
      <c r="C67" s="147" t="s">
        <v>96</v>
      </c>
      <c r="D67" s="147" t="s">
        <v>143</v>
      </c>
      <c r="E67" s="147" t="s">
        <v>8</v>
      </c>
      <c r="F67" s="147" t="s">
        <v>96</v>
      </c>
      <c r="G67" s="36"/>
      <c r="H67" s="147" t="s">
        <v>143</v>
      </c>
      <c r="I67" s="147" t="s">
        <v>8</v>
      </c>
      <c r="J67" s="4" t="s">
        <v>96</v>
      </c>
      <c r="K67" s="147" t="s">
        <v>143</v>
      </c>
      <c r="L67" s="147" t="s">
        <v>8</v>
      </c>
      <c r="M67" s="4" t="s">
        <v>96</v>
      </c>
    </row>
    <row r="68" spans="1:13" x14ac:dyDescent="0.25">
      <c r="A68" s="147">
        <v>0.75</v>
      </c>
      <c r="B68" s="200">
        <f>3.45*$B$66-A68</f>
        <v>0.11250000000000004</v>
      </c>
      <c r="C68" s="200">
        <f t="shared" ref="C68" si="21">B68/A68</f>
        <v>0.15000000000000005</v>
      </c>
      <c r="D68" s="147">
        <v>1</v>
      </c>
      <c r="E68" s="200">
        <f t="shared" ref="E68:E70" si="22">3.45*$E$66-D68</f>
        <v>0.72500000000000009</v>
      </c>
      <c r="F68" s="200">
        <f t="shared" ref="F68" si="23">E68/D68</f>
        <v>0.72500000000000009</v>
      </c>
      <c r="G68" s="36"/>
      <c r="H68" s="147">
        <v>1</v>
      </c>
      <c r="I68" s="8"/>
      <c r="J68" s="8"/>
      <c r="K68" s="147">
        <v>1</v>
      </c>
      <c r="L68" s="8"/>
      <c r="M68" s="8"/>
    </row>
    <row r="69" spans="1:13" x14ac:dyDescent="0.25">
      <c r="A69" s="147">
        <v>2</v>
      </c>
      <c r="B69" s="4">
        <f>3.45*$B$66-A69</f>
        <v>-1.1375</v>
      </c>
      <c r="C69" s="4">
        <f t="shared" ref="C69:C73" si="24">B69/A69</f>
        <v>-0.56874999999999998</v>
      </c>
      <c r="D69" s="147">
        <v>2</v>
      </c>
      <c r="E69" s="200">
        <f t="shared" si="22"/>
        <v>-0.27499999999999991</v>
      </c>
      <c r="F69" s="200">
        <f t="shared" ref="F69:F70" si="25">E69/D69</f>
        <v>-0.13749999999999996</v>
      </c>
      <c r="G69" s="36"/>
      <c r="H69" s="147">
        <v>2</v>
      </c>
      <c r="I69" s="8"/>
      <c r="J69" s="8"/>
      <c r="K69" s="147">
        <v>2</v>
      </c>
      <c r="L69" s="8"/>
      <c r="M69" s="8"/>
    </row>
    <row r="70" spans="1:13" x14ac:dyDescent="0.25">
      <c r="A70" s="147">
        <v>3</v>
      </c>
      <c r="B70" s="198">
        <f t="shared" ref="B70:B73" si="26">3.45*$B$66-A70</f>
        <v>-2.1375000000000002</v>
      </c>
      <c r="C70" s="4">
        <f t="shared" si="24"/>
        <v>-0.71250000000000002</v>
      </c>
      <c r="D70" s="147">
        <v>3</v>
      </c>
      <c r="E70" s="200">
        <f t="shared" si="22"/>
        <v>-1.2749999999999999</v>
      </c>
      <c r="F70" s="200">
        <f t="shared" si="25"/>
        <v>-0.42499999999999999</v>
      </c>
      <c r="G70" s="36"/>
      <c r="H70" s="147">
        <v>3</v>
      </c>
      <c r="I70" s="200">
        <f t="shared" ref="I70:I73" si="27">3.45*$I$66-H70</f>
        <v>0.45000000000000018</v>
      </c>
      <c r="J70" s="200">
        <f t="shared" ref="J70" si="28">I70/H70</f>
        <v>0.15000000000000005</v>
      </c>
      <c r="K70" s="147">
        <v>3</v>
      </c>
      <c r="L70" s="8"/>
      <c r="M70" s="8"/>
    </row>
    <row r="71" spans="1:13" x14ac:dyDescent="0.25">
      <c r="A71" s="147">
        <v>4</v>
      </c>
      <c r="B71" s="198">
        <f t="shared" si="26"/>
        <v>-3.1375000000000002</v>
      </c>
      <c r="C71" s="4">
        <f t="shared" si="24"/>
        <v>-0.78437500000000004</v>
      </c>
      <c r="D71" s="147">
        <v>4</v>
      </c>
      <c r="E71" s="4">
        <f>3.45*$E$66-D71</f>
        <v>-2.2749999999999999</v>
      </c>
      <c r="F71" s="4">
        <f t="shared" ref="F71:F79" si="29">E71/D71</f>
        <v>-0.56874999999999998</v>
      </c>
      <c r="G71" s="36"/>
      <c r="H71" s="147">
        <v>4</v>
      </c>
      <c r="I71" s="200">
        <f t="shared" si="27"/>
        <v>-0.54999999999999982</v>
      </c>
      <c r="J71" s="200">
        <f t="shared" ref="J71:J73" si="30">I71/H71</f>
        <v>-0.13749999999999996</v>
      </c>
      <c r="K71" s="147">
        <v>4</v>
      </c>
      <c r="L71" s="8"/>
      <c r="M71" s="8"/>
    </row>
    <row r="72" spans="1:13" x14ac:dyDescent="0.25">
      <c r="A72" s="147">
        <v>5</v>
      </c>
      <c r="B72" s="198">
        <f t="shared" si="26"/>
        <v>-4.1375000000000002</v>
      </c>
      <c r="C72" s="4">
        <f t="shared" si="24"/>
        <v>-0.82750000000000001</v>
      </c>
      <c r="D72" s="147">
        <v>5</v>
      </c>
      <c r="E72" s="198">
        <f t="shared" ref="E72:E79" si="31">3.45*$E$66-D72</f>
        <v>-3.2749999999999999</v>
      </c>
      <c r="F72" s="4">
        <f t="shared" si="29"/>
        <v>-0.65500000000000003</v>
      </c>
      <c r="G72" s="36"/>
      <c r="H72" s="147">
        <v>5</v>
      </c>
      <c r="I72" s="200">
        <f t="shared" si="27"/>
        <v>-1.5499999999999998</v>
      </c>
      <c r="J72" s="200">
        <f t="shared" si="30"/>
        <v>-0.30999999999999994</v>
      </c>
      <c r="K72" s="147">
        <v>5</v>
      </c>
      <c r="L72" s="200">
        <f t="shared" ref="L72:L76" si="32">3.45*$L$66-K72</f>
        <v>0.17500000000000071</v>
      </c>
      <c r="M72" s="200">
        <f t="shared" ref="M72" si="33">L72/K72</f>
        <v>3.5000000000000142E-2</v>
      </c>
    </row>
    <row r="73" spans="1:13" x14ac:dyDescent="0.25">
      <c r="A73" s="147">
        <v>6</v>
      </c>
      <c r="B73" s="198">
        <f t="shared" si="26"/>
        <v>-5.1375000000000002</v>
      </c>
      <c r="C73" s="4">
        <f t="shared" si="24"/>
        <v>-0.85625000000000007</v>
      </c>
      <c r="D73" s="147">
        <v>6</v>
      </c>
      <c r="E73" s="198">
        <f t="shared" si="31"/>
        <v>-4.2750000000000004</v>
      </c>
      <c r="F73" s="4">
        <f t="shared" si="29"/>
        <v>-0.71250000000000002</v>
      </c>
      <c r="G73" s="36"/>
      <c r="H73" s="147">
        <v>6</v>
      </c>
      <c r="I73" s="200">
        <f t="shared" si="27"/>
        <v>-2.5499999999999998</v>
      </c>
      <c r="J73" s="200">
        <f t="shared" si="30"/>
        <v>-0.42499999999999999</v>
      </c>
      <c r="K73" s="147">
        <v>6</v>
      </c>
      <c r="L73" s="200">
        <f t="shared" si="32"/>
        <v>-0.82499999999999929</v>
      </c>
      <c r="M73" s="200">
        <f t="shared" ref="M73:M76" si="34">L73/K73</f>
        <v>-0.13749999999999987</v>
      </c>
    </row>
    <row r="74" spans="1:13" x14ac:dyDescent="0.25">
      <c r="A74" s="147">
        <v>7</v>
      </c>
      <c r="B74" s="8"/>
      <c r="C74" s="8"/>
      <c r="D74" s="147">
        <v>7</v>
      </c>
      <c r="E74" s="198">
        <f t="shared" si="31"/>
        <v>-5.2750000000000004</v>
      </c>
      <c r="F74" s="4">
        <f t="shared" si="29"/>
        <v>-0.75357142857142867</v>
      </c>
      <c r="G74" s="36"/>
      <c r="H74" s="147">
        <v>7</v>
      </c>
      <c r="I74" s="4">
        <f>3.45*$I$66-H74</f>
        <v>-3.55</v>
      </c>
      <c r="J74" s="4">
        <f t="shared" ref="J74:J81" si="35">I74/H74</f>
        <v>-0.50714285714285712</v>
      </c>
      <c r="K74" s="147">
        <v>7</v>
      </c>
      <c r="L74" s="200">
        <f t="shared" si="32"/>
        <v>-1.8249999999999993</v>
      </c>
      <c r="M74" s="200">
        <f t="shared" si="34"/>
        <v>-0.26071428571428562</v>
      </c>
    </row>
    <row r="75" spans="1:13" x14ac:dyDescent="0.25">
      <c r="A75" s="147">
        <v>8</v>
      </c>
      <c r="B75" s="8"/>
      <c r="C75" s="8"/>
      <c r="D75" s="147">
        <v>8</v>
      </c>
      <c r="E75" s="198">
        <f t="shared" si="31"/>
        <v>-6.2750000000000004</v>
      </c>
      <c r="F75" s="4">
        <f t="shared" si="29"/>
        <v>-0.78437500000000004</v>
      </c>
      <c r="G75" s="36"/>
      <c r="H75" s="147">
        <v>8</v>
      </c>
      <c r="I75" s="198">
        <f t="shared" ref="I75:I87" si="36">3.45*$I$66-H75</f>
        <v>-4.55</v>
      </c>
      <c r="J75" s="4">
        <f t="shared" si="35"/>
        <v>-0.56874999999999998</v>
      </c>
      <c r="K75" s="147">
        <v>8</v>
      </c>
      <c r="L75" s="200">
        <f t="shared" si="32"/>
        <v>-2.8249999999999993</v>
      </c>
      <c r="M75" s="200">
        <f t="shared" si="34"/>
        <v>-0.35312499999999991</v>
      </c>
    </row>
    <row r="76" spans="1:13" x14ac:dyDescent="0.25">
      <c r="A76" s="147">
        <v>9</v>
      </c>
      <c r="B76" s="8"/>
      <c r="C76" s="8"/>
      <c r="D76" s="147">
        <v>9</v>
      </c>
      <c r="E76" s="198">
        <f t="shared" si="31"/>
        <v>-7.2750000000000004</v>
      </c>
      <c r="F76" s="4">
        <f t="shared" si="29"/>
        <v>-0.80833333333333335</v>
      </c>
      <c r="G76" s="36"/>
      <c r="H76" s="147">
        <v>9</v>
      </c>
      <c r="I76" s="198">
        <f t="shared" si="36"/>
        <v>-5.55</v>
      </c>
      <c r="J76" s="4">
        <f t="shared" si="35"/>
        <v>-0.6166666666666667</v>
      </c>
      <c r="K76" s="147">
        <v>9</v>
      </c>
      <c r="L76" s="200">
        <f t="shared" si="32"/>
        <v>-3.8249999999999993</v>
      </c>
      <c r="M76" s="200">
        <f t="shared" si="34"/>
        <v>-0.42499999999999993</v>
      </c>
    </row>
    <row r="77" spans="1:13" x14ac:dyDescent="0.25">
      <c r="A77" s="147">
        <v>10</v>
      </c>
      <c r="B77" s="8"/>
      <c r="C77" s="8"/>
      <c r="D77" s="147">
        <v>10</v>
      </c>
      <c r="E77" s="198">
        <f t="shared" si="31"/>
        <v>-8.2750000000000004</v>
      </c>
      <c r="F77" s="4">
        <f t="shared" si="29"/>
        <v>-0.82750000000000001</v>
      </c>
      <c r="G77" s="36"/>
      <c r="H77" s="147">
        <v>10</v>
      </c>
      <c r="I77" s="198">
        <f t="shared" si="36"/>
        <v>-6.55</v>
      </c>
      <c r="J77" s="4">
        <f t="shared" si="35"/>
        <v>-0.65500000000000003</v>
      </c>
      <c r="K77" s="147">
        <v>10</v>
      </c>
      <c r="L77" s="4">
        <f>3.45*$L$66-K77</f>
        <v>-4.8249999999999993</v>
      </c>
      <c r="M77" s="4">
        <f t="shared" ref="M77:M81" si="37">L77/K77</f>
        <v>-0.48249999999999993</v>
      </c>
    </row>
    <row r="78" spans="1:13" x14ac:dyDescent="0.25">
      <c r="A78" s="147">
        <v>11</v>
      </c>
      <c r="B78" s="8"/>
      <c r="C78" s="8"/>
      <c r="D78" s="147">
        <v>11</v>
      </c>
      <c r="E78" s="198">
        <f t="shared" si="31"/>
        <v>-9.2750000000000004</v>
      </c>
      <c r="F78" s="4">
        <f t="shared" si="29"/>
        <v>-0.84318181818181825</v>
      </c>
      <c r="G78" s="36"/>
      <c r="H78" s="147">
        <v>11</v>
      </c>
      <c r="I78" s="198">
        <f t="shared" si="36"/>
        <v>-7.55</v>
      </c>
      <c r="J78" s="4">
        <f t="shared" si="35"/>
        <v>-0.6863636363636364</v>
      </c>
      <c r="K78" s="147">
        <v>11</v>
      </c>
      <c r="L78" s="198">
        <f t="shared" ref="L78:L87" si="38">3.45*$L$66-K78</f>
        <v>-5.8249999999999993</v>
      </c>
      <c r="M78" s="4">
        <f t="shared" si="37"/>
        <v>-0.52954545454545443</v>
      </c>
    </row>
    <row r="79" spans="1:13" x14ac:dyDescent="0.25">
      <c r="A79" s="147">
        <v>12</v>
      </c>
      <c r="B79" s="8"/>
      <c r="C79" s="8"/>
      <c r="D79" s="147">
        <v>12</v>
      </c>
      <c r="E79" s="198">
        <f t="shared" si="31"/>
        <v>-10.275</v>
      </c>
      <c r="F79" s="4">
        <f t="shared" si="29"/>
        <v>-0.85625000000000007</v>
      </c>
      <c r="G79" s="36"/>
      <c r="H79" s="147">
        <v>12</v>
      </c>
      <c r="I79" s="198">
        <f t="shared" si="36"/>
        <v>-8.5500000000000007</v>
      </c>
      <c r="J79" s="4">
        <f t="shared" si="35"/>
        <v>-0.71250000000000002</v>
      </c>
      <c r="K79" s="147">
        <v>12</v>
      </c>
      <c r="L79" s="198">
        <f t="shared" si="38"/>
        <v>-6.8249999999999993</v>
      </c>
      <c r="M79" s="4">
        <f t="shared" si="37"/>
        <v>-0.56874999999999998</v>
      </c>
    </row>
    <row r="80" spans="1:13" x14ac:dyDescent="0.25">
      <c r="A80" s="147">
        <v>13</v>
      </c>
      <c r="B80" s="8"/>
      <c r="C80" s="8"/>
      <c r="D80" s="147">
        <v>13</v>
      </c>
      <c r="E80" s="8"/>
      <c r="F80" s="8"/>
      <c r="G80" s="36"/>
      <c r="H80" s="147">
        <v>13</v>
      </c>
      <c r="I80" s="198">
        <f t="shared" si="36"/>
        <v>-9.5500000000000007</v>
      </c>
      <c r="J80" s="4">
        <f t="shared" si="35"/>
        <v>-0.73461538461538467</v>
      </c>
      <c r="K80" s="147">
        <v>13</v>
      </c>
      <c r="L80" s="198">
        <f t="shared" si="38"/>
        <v>-7.8249999999999993</v>
      </c>
      <c r="M80" s="4">
        <f t="shared" si="37"/>
        <v>-0.60192307692307689</v>
      </c>
    </row>
    <row r="81" spans="1:13" x14ac:dyDescent="0.25">
      <c r="A81" s="147">
        <v>14</v>
      </c>
      <c r="B81" s="8"/>
      <c r="C81" s="8"/>
      <c r="D81" s="147">
        <v>14</v>
      </c>
      <c r="E81" s="8"/>
      <c r="F81" s="8"/>
      <c r="G81" s="36"/>
      <c r="H81" s="147">
        <v>14</v>
      </c>
      <c r="I81" s="198">
        <f t="shared" si="36"/>
        <v>-10.55</v>
      </c>
      <c r="J81" s="4">
        <f t="shared" si="35"/>
        <v>-0.75357142857142867</v>
      </c>
      <c r="K81" s="147">
        <v>14</v>
      </c>
      <c r="L81" s="198">
        <f t="shared" si="38"/>
        <v>-8.8249999999999993</v>
      </c>
      <c r="M81" s="4">
        <f t="shared" si="37"/>
        <v>-0.63035714285714284</v>
      </c>
    </row>
    <row r="82" spans="1:13" x14ac:dyDescent="0.25">
      <c r="A82" s="147">
        <v>15</v>
      </c>
      <c r="B82" s="8"/>
      <c r="C82" s="8"/>
      <c r="D82" s="147">
        <v>15</v>
      </c>
      <c r="E82" s="8"/>
      <c r="F82" s="8"/>
      <c r="G82" s="36"/>
      <c r="H82" s="147">
        <v>15</v>
      </c>
      <c r="I82" s="198">
        <f t="shared" si="36"/>
        <v>-11.55</v>
      </c>
      <c r="J82" s="4">
        <f t="shared" ref="J82:J87" si="39">I82/H82</f>
        <v>-0.77</v>
      </c>
      <c r="K82" s="147">
        <v>15</v>
      </c>
      <c r="L82" s="198">
        <f t="shared" si="38"/>
        <v>-9.8249999999999993</v>
      </c>
      <c r="M82" s="4">
        <f t="shared" ref="M82:M87" si="40">L82/K82</f>
        <v>-0.65499999999999992</v>
      </c>
    </row>
    <row r="83" spans="1:13" x14ac:dyDescent="0.25">
      <c r="A83" s="147">
        <v>16</v>
      </c>
      <c r="B83" s="8"/>
      <c r="C83" s="8"/>
      <c r="D83" s="147">
        <v>16</v>
      </c>
      <c r="E83" s="8"/>
      <c r="F83" s="8"/>
      <c r="G83" s="36"/>
      <c r="H83" s="147">
        <v>16</v>
      </c>
      <c r="I83" s="198">
        <f t="shared" si="36"/>
        <v>-12.55</v>
      </c>
      <c r="J83" s="4">
        <f t="shared" si="39"/>
        <v>-0.78437500000000004</v>
      </c>
      <c r="K83" s="147">
        <v>16</v>
      </c>
      <c r="L83" s="198">
        <f t="shared" si="38"/>
        <v>-10.824999999999999</v>
      </c>
      <c r="M83" s="4">
        <f t="shared" si="40"/>
        <v>-0.67656249999999996</v>
      </c>
    </row>
    <row r="84" spans="1:13" x14ac:dyDescent="0.25">
      <c r="A84" s="147">
        <v>17</v>
      </c>
      <c r="B84" s="8"/>
      <c r="C84" s="8"/>
      <c r="D84" s="147">
        <v>17</v>
      </c>
      <c r="E84" s="8"/>
      <c r="F84" s="8"/>
      <c r="G84" s="36"/>
      <c r="H84" s="147">
        <v>17</v>
      </c>
      <c r="I84" s="198">
        <f t="shared" si="36"/>
        <v>-13.55</v>
      </c>
      <c r="J84" s="4">
        <f t="shared" si="39"/>
        <v>-0.79705882352941182</v>
      </c>
      <c r="K84" s="147">
        <v>17</v>
      </c>
      <c r="L84" s="198">
        <f t="shared" si="38"/>
        <v>-11.824999999999999</v>
      </c>
      <c r="M84" s="4">
        <f t="shared" si="40"/>
        <v>-0.69558823529411762</v>
      </c>
    </row>
    <row r="85" spans="1:13" x14ac:dyDescent="0.25">
      <c r="A85" s="147">
        <v>18</v>
      </c>
      <c r="B85" s="8"/>
      <c r="C85" s="8"/>
      <c r="D85" s="147">
        <v>18</v>
      </c>
      <c r="E85" s="8"/>
      <c r="F85" s="8"/>
      <c r="G85" s="36"/>
      <c r="H85" s="147">
        <v>18</v>
      </c>
      <c r="I85" s="198">
        <f t="shared" si="36"/>
        <v>-14.55</v>
      </c>
      <c r="J85" s="4">
        <f t="shared" si="39"/>
        <v>-0.80833333333333335</v>
      </c>
      <c r="K85" s="147">
        <v>18</v>
      </c>
      <c r="L85" s="198">
        <f t="shared" si="38"/>
        <v>-12.824999999999999</v>
      </c>
      <c r="M85" s="4">
        <f t="shared" si="40"/>
        <v>-0.71249999999999991</v>
      </c>
    </row>
    <row r="86" spans="1:13" x14ac:dyDescent="0.25">
      <c r="A86" s="147">
        <v>19</v>
      </c>
      <c r="B86" s="8"/>
      <c r="C86" s="8"/>
      <c r="D86" s="199">
        <v>19</v>
      </c>
      <c r="E86" s="8"/>
      <c r="F86" s="8"/>
      <c r="G86" s="36"/>
      <c r="H86" s="147">
        <v>19</v>
      </c>
      <c r="I86" s="198">
        <f t="shared" si="36"/>
        <v>-15.55</v>
      </c>
      <c r="J86" s="4">
        <f t="shared" si="39"/>
        <v>-0.81842105263157894</v>
      </c>
      <c r="K86" s="147">
        <v>19</v>
      </c>
      <c r="L86" s="198">
        <f t="shared" si="38"/>
        <v>-13.824999999999999</v>
      </c>
      <c r="M86" s="4">
        <f t="shared" si="40"/>
        <v>-0.72763157894736841</v>
      </c>
    </row>
    <row r="87" spans="1:13" x14ac:dyDescent="0.25">
      <c r="A87" s="147">
        <v>20</v>
      </c>
      <c r="B87" s="8"/>
      <c r="C87" s="8"/>
      <c r="D87" s="199">
        <v>20</v>
      </c>
      <c r="E87" s="8"/>
      <c r="F87" s="8"/>
      <c r="G87" s="36"/>
      <c r="H87" s="147">
        <v>20</v>
      </c>
      <c r="I87" s="198">
        <f t="shared" si="36"/>
        <v>-16.55</v>
      </c>
      <c r="J87" s="4">
        <f t="shared" si="39"/>
        <v>-0.82750000000000001</v>
      </c>
      <c r="K87" s="147">
        <v>20</v>
      </c>
      <c r="L87" s="198">
        <f t="shared" si="38"/>
        <v>-14.824999999999999</v>
      </c>
      <c r="M87" s="4">
        <f t="shared" si="40"/>
        <v>-0.74124999999999996</v>
      </c>
    </row>
    <row r="88" spans="1:13" x14ac:dyDescent="0.25">
      <c r="A88" s="147"/>
      <c r="B88" s="4"/>
      <c r="C88" s="4"/>
      <c r="D88" s="147"/>
      <c r="E88" s="4"/>
      <c r="F88" s="4"/>
      <c r="G88" s="36"/>
      <c r="H88" s="147"/>
      <c r="I88" s="4"/>
      <c r="J88" s="4"/>
      <c r="K88" s="147"/>
      <c r="L88" s="4"/>
      <c r="M88" s="4"/>
    </row>
    <row r="90" spans="1:13" ht="15.75" thickBot="1" x14ac:dyDescent="0.3">
      <c r="J90" s="10" t="s">
        <v>460</v>
      </c>
    </row>
    <row r="91" spans="1:13" ht="15.75" thickBot="1" x14ac:dyDescent="0.3">
      <c r="J91" s="119" t="s">
        <v>321</v>
      </c>
      <c r="K91" s="121"/>
      <c r="L91" s="122"/>
    </row>
    <row r="92" spans="1:13" x14ac:dyDescent="0.25">
      <c r="J92" s="128" t="s">
        <v>316</v>
      </c>
      <c r="K92" s="129"/>
      <c r="L92" s="130">
        <v>30</v>
      </c>
    </row>
    <row r="93" spans="1:13" x14ac:dyDescent="0.25">
      <c r="J93" s="128" t="s">
        <v>322</v>
      </c>
      <c r="K93" s="129"/>
      <c r="L93" s="130">
        <v>7.5</v>
      </c>
    </row>
    <row r="94" spans="1:13" x14ac:dyDescent="0.25">
      <c r="J94" s="128" t="s">
        <v>317</v>
      </c>
      <c r="K94" s="129"/>
      <c r="L94" s="130">
        <v>10</v>
      </c>
    </row>
    <row r="95" spans="1:13" x14ac:dyDescent="0.25">
      <c r="J95" s="128" t="s">
        <v>318</v>
      </c>
      <c r="K95" s="129"/>
      <c r="L95" s="139">
        <v>1.5</v>
      </c>
    </row>
    <row r="96" spans="1:13" ht="18" x14ac:dyDescent="0.35">
      <c r="J96" s="128" t="s">
        <v>319</v>
      </c>
      <c r="K96" s="129"/>
      <c r="L96" s="131">
        <v>0.75</v>
      </c>
    </row>
    <row r="97" spans="10:12" x14ac:dyDescent="0.25">
      <c r="J97" s="128" t="s">
        <v>320</v>
      </c>
      <c r="K97" s="129"/>
      <c r="L97" s="130">
        <v>1.6</v>
      </c>
    </row>
    <row r="98" spans="10:12" x14ac:dyDescent="0.25">
      <c r="J98" s="132" t="s">
        <v>309</v>
      </c>
      <c r="K98" s="124"/>
      <c r="L98" s="126"/>
    </row>
    <row r="99" spans="10:12" x14ac:dyDescent="0.25">
      <c r="J99" s="123" t="s">
        <v>310</v>
      </c>
      <c r="K99" s="124"/>
      <c r="L99" s="133">
        <f>1/L95/SQRT(L102*L93/1.56/L94/L94)</f>
        <v>4.0682239136720284</v>
      </c>
    </row>
    <row r="100" spans="10:12" x14ac:dyDescent="0.25">
      <c r="J100" s="132" t="s">
        <v>336</v>
      </c>
      <c r="K100" s="124"/>
      <c r="L100" s="125"/>
    </row>
    <row r="101" spans="10:12" x14ac:dyDescent="0.25">
      <c r="J101" s="123" t="s">
        <v>329</v>
      </c>
      <c r="K101" s="124"/>
      <c r="L101" s="148">
        <f>L93/1.56/L94/L94</f>
        <v>4.8076923076923073E-2</v>
      </c>
    </row>
    <row r="102" spans="10:12" x14ac:dyDescent="0.25">
      <c r="J102" s="123" t="s">
        <v>291</v>
      </c>
      <c r="K102" s="124"/>
      <c r="L102" s="126">
        <f>0.12/L101*(1-EXP(-4.7124*L101*(1+11*POWER(1/L92,1.333))))</f>
        <v>0.55856165746716757</v>
      </c>
    </row>
    <row r="103" spans="10:12" x14ac:dyDescent="0.25">
      <c r="J103" s="132" t="s">
        <v>461</v>
      </c>
      <c r="K103" s="124"/>
      <c r="L103" s="148"/>
    </row>
    <row r="104" spans="10:12" x14ac:dyDescent="0.25">
      <c r="J104" s="123" t="s">
        <v>296</v>
      </c>
      <c r="K104" s="124"/>
      <c r="L104" s="126">
        <f>$E$38*L96/L93+$G$38</f>
        <v>-0.65500000000000003</v>
      </c>
    </row>
    <row r="105" spans="10:12" x14ac:dyDescent="0.25">
      <c r="J105" s="123" t="s">
        <v>295</v>
      </c>
      <c r="K105" s="124"/>
      <c r="L105" s="126">
        <f>L104*L93</f>
        <v>-4.9125000000000005</v>
      </c>
    </row>
    <row r="106" spans="10:12" ht="18" x14ac:dyDescent="0.35">
      <c r="J106" s="123" t="s">
        <v>297</v>
      </c>
      <c r="K106" s="124"/>
      <c r="L106" s="126">
        <f>L105/L96</f>
        <v>-6.5500000000000007</v>
      </c>
    </row>
    <row r="107" spans="10:12" ht="18" x14ac:dyDescent="0.35">
      <c r="J107" s="123" t="s">
        <v>299</v>
      </c>
      <c r="K107" s="124"/>
      <c r="L107" s="133">
        <f>L93*L102/L97/L96</f>
        <v>3.4910103591697972</v>
      </c>
    </row>
    <row r="108" spans="10:12" ht="18" x14ac:dyDescent="0.35">
      <c r="J108" s="123" t="s">
        <v>300</v>
      </c>
      <c r="K108" s="124"/>
      <c r="L108" s="133">
        <f>L93/L97/L96</f>
        <v>6.25</v>
      </c>
    </row>
    <row r="109" spans="10:12" ht="18.75" thickBot="1" x14ac:dyDescent="0.4">
      <c r="J109" s="167" t="s">
        <v>302</v>
      </c>
      <c r="K109" s="168"/>
      <c r="L109" s="169">
        <f>L96/L93</f>
        <v>0.1</v>
      </c>
    </row>
  </sheetData>
  <mergeCells count="1">
    <mergeCell ref="G13:I13"/>
  </mergeCells>
  <pageMargins left="0.7" right="0.7" top="0.75" bottom="0.75"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opLeftCell="A31" zoomScaleNormal="100" workbookViewId="0">
      <selection activeCell="C46" sqref="C46"/>
    </sheetView>
  </sheetViews>
  <sheetFormatPr baseColWidth="10" defaultRowHeight="15" x14ac:dyDescent="0.25"/>
  <cols>
    <col min="1" max="1" width="17.5703125" customWidth="1"/>
    <col min="2" max="3" width="11.42578125" style="73"/>
  </cols>
  <sheetData>
    <row r="1" spans="1:3" s="10" customFormat="1" x14ac:dyDescent="0.25">
      <c r="A1" s="10" t="s">
        <v>186</v>
      </c>
      <c r="B1" s="74"/>
      <c r="C1" s="74"/>
    </row>
    <row r="2" spans="1:3" s="36" customFormat="1" x14ac:dyDescent="0.25">
      <c r="A2" s="36" t="s">
        <v>173</v>
      </c>
      <c r="B2" s="75">
        <v>5</v>
      </c>
      <c r="C2" s="73"/>
    </row>
    <row r="3" spans="1:3" s="36" customFormat="1" x14ac:dyDescent="0.25">
      <c r="A3" s="36" t="s">
        <v>174</v>
      </c>
      <c r="B3" s="55">
        <f>C10-B2</f>
        <v>0</v>
      </c>
      <c r="C3" s="73"/>
    </row>
    <row r="4" spans="1:3" s="36" customFormat="1" x14ac:dyDescent="0.25">
      <c r="A4" s="36" t="s">
        <v>189</v>
      </c>
      <c r="B4" s="75">
        <v>1.5</v>
      </c>
      <c r="C4" s="73"/>
    </row>
    <row r="5" spans="1:3" x14ac:dyDescent="0.25">
      <c r="A5" s="10" t="s">
        <v>166</v>
      </c>
      <c r="B5" s="74" t="s">
        <v>167</v>
      </c>
      <c r="C5" s="74" t="s">
        <v>168</v>
      </c>
    </row>
    <row r="6" spans="1:3" x14ac:dyDescent="0.25">
      <c r="A6" t="s">
        <v>169</v>
      </c>
      <c r="B6" s="55">
        <v>0</v>
      </c>
      <c r="C6" s="55">
        <v>0</v>
      </c>
    </row>
    <row r="7" spans="1:3" x14ac:dyDescent="0.25">
      <c r="A7" t="s">
        <v>185</v>
      </c>
      <c r="B7" s="55">
        <f>1.5*C7+B6</f>
        <v>1.875</v>
      </c>
      <c r="C7" s="55">
        <f>0.25*B2</f>
        <v>1.25</v>
      </c>
    </row>
    <row r="8" spans="1:3" x14ac:dyDescent="0.25">
      <c r="A8" t="s">
        <v>175</v>
      </c>
      <c r="B8" s="55">
        <f>(C8-C7)*B4+B7</f>
        <v>5.625</v>
      </c>
      <c r="C8" s="55">
        <f>0.75*B2</f>
        <v>3.75</v>
      </c>
    </row>
    <row r="9" spans="1:3" x14ac:dyDescent="0.25">
      <c r="A9" t="s">
        <v>170</v>
      </c>
      <c r="B9" s="55">
        <f>(C9-C8)*B4+B8</f>
        <v>7.5</v>
      </c>
      <c r="C9" s="55">
        <f>C10</f>
        <v>5</v>
      </c>
    </row>
    <row r="10" spans="1:3" x14ac:dyDescent="0.25">
      <c r="A10" t="s">
        <v>171</v>
      </c>
      <c r="B10" s="55">
        <f>B9+5</f>
        <v>12.5</v>
      </c>
      <c r="C10" s="75">
        <v>5</v>
      </c>
    </row>
    <row r="11" spans="1:3" x14ac:dyDescent="0.25">
      <c r="A11" t="s">
        <v>172</v>
      </c>
      <c r="B11" s="55">
        <f>(B2+B3)*1.5+B10</f>
        <v>20</v>
      </c>
      <c r="C11" s="55">
        <v>0</v>
      </c>
    </row>
    <row r="13" spans="1:3" x14ac:dyDescent="0.25">
      <c r="A13" t="s">
        <v>176</v>
      </c>
      <c r="B13" s="55">
        <v>0</v>
      </c>
      <c r="C13" s="55">
        <f>B2</f>
        <v>5</v>
      </c>
    </row>
    <row r="14" spans="1:3" x14ac:dyDescent="0.25">
      <c r="B14" s="55">
        <v>100</v>
      </c>
      <c r="C14" s="55">
        <f>B2</f>
        <v>5</v>
      </c>
    </row>
    <row r="15" spans="1:3" x14ac:dyDescent="0.25">
      <c r="B15" s="55"/>
    </row>
    <row r="16" spans="1:3" x14ac:dyDescent="0.25">
      <c r="A16" t="s">
        <v>177</v>
      </c>
      <c r="B16" s="55">
        <f>(B7-B6)*(C7-C6)/2</f>
        <v>1.171875</v>
      </c>
    </row>
    <row r="17" spans="1:4" x14ac:dyDescent="0.25">
      <c r="A17" t="s">
        <v>178</v>
      </c>
      <c r="B17" s="55">
        <f>(B8-B7)*(C8-C7)/2</f>
        <v>4.6875</v>
      </c>
    </row>
    <row r="18" spans="1:4" x14ac:dyDescent="0.25">
      <c r="A18" s="36" t="s">
        <v>179</v>
      </c>
      <c r="B18" s="55">
        <f>(B8-B7)*(C7-C6)</f>
        <v>4.6875</v>
      </c>
      <c r="D18" t="s">
        <v>191</v>
      </c>
    </row>
    <row r="19" spans="1:4" x14ac:dyDescent="0.25">
      <c r="A19" s="36" t="s">
        <v>180</v>
      </c>
      <c r="B19" s="55">
        <f>(C9-C8)*(B9-B8)/2</f>
        <v>1.171875</v>
      </c>
      <c r="D19" t="s">
        <v>198</v>
      </c>
    </row>
    <row r="20" spans="1:4" x14ac:dyDescent="0.25">
      <c r="A20" s="36" t="s">
        <v>181</v>
      </c>
      <c r="B20" s="55">
        <f>(B9-B8)*(C8-C6)</f>
        <v>7.03125</v>
      </c>
      <c r="D20" t="s">
        <v>199</v>
      </c>
    </row>
    <row r="21" spans="1:4" x14ac:dyDescent="0.25">
      <c r="A21" s="36" t="s">
        <v>182</v>
      </c>
      <c r="B21" s="55">
        <f>(B10-B9)*(C10-C6)</f>
        <v>25</v>
      </c>
      <c r="D21" t="s">
        <v>200</v>
      </c>
    </row>
    <row r="22" spans="1:4" x14ac:dyDescent="0.25">
      <c r="A22" s="36" t="s">
        <v>183</v>
      </c>
      <c r="B22" s="55">
        <f>(C10-C11)*(B11-B10)/2</f>
        <v>18.75</v>
      </c>
      <c r="D22" t="s">
        <v>193</v>
      </c>
    </row>
    <row r="23" spans="1:4" x14ac:dyDescent="0.25">
      <c r="B23" s="55"/>
      <c r="D23" t="s">
        <v>192</v>
      </c>
    </row>
    <row r="24" spans="1:4" x14ac:dyDescent="0.25">
      <c r="A24" t="s">
        <v>184</v>
      </c>
      <c r="B24" s="76">
        <f>SUM(B16:B23)</f>
        <v>62.5</v>
      </c>
      <c r="D24" t="s">
        <v>190</v>
      </c>
    </row>
    <row r="25" spans="1:4" s="36" customFormat="1" x14ac:dyDescent="0.25">
      <c r="A25" s="36" t="s">
        <v>196</v>
      </c>
      <c r="B25" s="76">
        <f>B11-B6</f>
        <v>20</v>
      </c>
      <c r="C25" s="73"/>
    </row>
    <row r="27" spans="1:4" s="10" customFormat="1" x14ac:dyDescent="0.25">
      <c r="A27" s="10" t="s">
        <v>187</v>
      </c>
      <c r="B27" s="74"/>
      <c r="C27" s="74"/>
    </row>
    <row r="28" spans="1:4" s="36" customFormat="1" x14ac:dyDescent="0.25">
      <c r="A28" s="36" t="s">
        <v>173</v>
      </c>
      <c r="B28" s="75">
        <v>5</v>
      </c>
      <c r="C28" s="73"/>
    </row>
    <row r="29" spans="1:4" s="36" customFormat="1" x14ac:dyDescent="0.25">
      <c r="A29" s="36" t="s">
        <v>174</v>
      </c>
      <c r="B29" s="55">
        <f>C38-B28</f>
        <v>-1.9</v>
      </c>
      <c r="C29" s="73"/>
    </row>
    <row r="30" spans="1:4" s="36" customFormat="1" x14ac:dyDescent="0.25">
      <c r="A30" s="36" t="s">
        <v>194</v>
      </c>
      <c r="B30" s="75">
        <v>10</v>
      </c>
      <c r="C30" s="73"/>
    </row>
    <row r="31" spans="1:4" s="36" customFormat="1" x14ac:dyDescent="0.25">
      <c r="A31" s="36" t="s">
        <v>195</v>
      </c>
      <c r="B31" s="75">
        <v>1.5</v>
      </c>
      <c r="C31" s="73"/>
    </row>
    <row r="32" spans="1:4" s="36" customFormat="1" x14ac:dyDescent="0.25">
      <c r="A32" s="36" t="s">
        <v>270</v>
      </c>
      <c r="B32" s="75">
        <v>5</v>
      </c>
      <c r="C32" s="73"/>
    </row>
    <row r="33" spans="1:3" s="36" customFormat="1" x14ac:dyDescent="0.25">
      <c r="A33" s="10" t="s">
        <v>166</v>
      </c>
      <c r="B33" s="74" t="s">
        <v>167</v>
      </c>
      <c r="C33" s="74" t="s">
        <v>168</v>
      </c>
    </row>
    <row r="34" spans="1:3" s="36" customFormat="1" x14ac:dyDescent="0.25">
      <c r="A34" s="36" t="s">
        <v>169</v>
      </c>
      <c r="B34" s="55">
        <v>0</v>
      </c>
      <c r="C34" s="55">
        <v>0</v>
      </c>
    </row>
    <row r="35" spans="1:3" s="36" customFormat="1" x14ac:dyDescent="0.25">
      <c r="A35" s="36" t="s">
        <v>272</v>
      </c>
      <c r="B35" s="55">
        <f>1.5*C35+B34</f>
        <v>2.25</v>
      </c>
      <c r="C35" s="55">
        <f>0.3*B28</f>
        <v>1.5</v>
      </c>
    </row>
    <row r="36" spans="1:3" s="36" customFormat="1" x14ac:dyDescent="0.25">
      <c r="A36" s="36" t="s">
        <v>271</v>
      </c>
      <c r="B36" s="55">
        <f>(C36-C35)*B30+B35</f>
        <v>18.25</v>
      </c>
      <c r="C36" s="55">
        <f>C38</f>
        <v>3.1</v>
      </c>
    </row>
    <row r="37" spans="1:3" s="36" customFormat="1" x14ac:dyDescent="0.25">
      <c r="A37" s="36" t="s">
        <v>170</v>
      </c>
      <c r="B37" s="55">
        <f>(C37-C36)*B31+B36</f>
        <v>18.25</v>
      </c>
      <c r="C37" s="55">
        <f>C38</f>
        <v>3.1</v>
      </c>
    </row>
    <row r="38" spans="1:3" s="36" customFormat="1" x14ac:dyDescent="0.25">
      <c r="A38" s="36" t="s">
        <v>171</v>
      </c>
      <c r="B38" s="55">
        <f>B37+B32</f>
        <v>23.25</v>
      </c>
      <c r="C38" s="113">
        <v>3.1</v>
      </c>
    </row>
    <row r="39" spans="1:3" s="36" customFormat="1" x14ac:dyDescent="0.25">
      <c r="A39" s="36" t="s">
        <v>172</v>
      </c>
      <c r="B39" s="55">
        <f>(B28+B29)*1.5+B38</f>
        <v>27.9</v>
      </c>
      <c r="C39" s="55">
        <v>0</v>
      </c>
    </row>
    <row r="40" spans="1:3" s="36" customFormat="1" x14ac:dyDescent="0.25">
      <c r="B40" s="73"/>
      <c r="C40" s="73"/>
    </row>
    <row r="41" spans="1:3" s="36" customFormat="1" x14ac:dyDescent="0.25">
      <c r="A41" s="36" t="s">
        <v>176</v>
      </c>
      <c r="B41" s="55">
        <v>0</v>
      </c>
      <c r="C41" s="55">
        <f>B28</f>
        <v>5</v>
      </c>
    </row>
    <row r="42" spans="1:3" s="36" customFormat="1" x14ac:dyDescent="0.25">
      <c r="B42" s="55">
        <v>100</v>
      </c>
      <c r="C42" s="55">
        <f>B28</f>
        <v>5</v>
      </c>
    </row>
    <row r="43" spans="1:3" s="36" customFormat="1" x14ac:dyDescent="0.25">
      <c r="B43" s="73"/>
      <c r="C43" s="73"/>
    </row>
    <row r="44" spans="1:3" s="36" customFormat="1" x14ac:dyDescent="0.25">
      <c r="A44" s="36" t="s">
        <v>177</v>
      </c>
      <c r="B44" s="55">
        <f>(B35-B34)*(C35-C34)/2</f>
        <v>1.6875</v>
      </c>
      <c r="C44" s="73"/>
    </row>
    <row r="45" spans="1:3" s="36" customFormat="1" x14ac:dyDescent="0.25">
      <c r="A45" s="36" t="s">
        <v>178</v>
      </c>
      <c r="B45" s="55">
        <f>(B36-B35)*(C36-C35)/2</f>
        <v>12.8</v>
      </c>
      <c r="C45" s="73"/>
    </row>
    <row r="46" spans="1:3" s="36" customFormat="1" x14ac:dyDescent="0.25">
      <c r="A46" s="36" t="s">
        <v>179</v>
      </c>
      <c r="B46" s="55">
        <f>(B36-B35)*(C35-C34)</f>
        <v>24</v>
      </c>
      <c r="C46" s="73"/>
    </row>
    <row r="47" spans="1:3" s="36" customFormat="1" x14ac:dyDescent="0.25">
      <c r="A47" s="36" t="s">
        <v>180</v>
      </c>
      <c r="B47" s="55">
        <f>(C37-C36)*(B37-B36)/2</f>
        <v>0</v>
      </c>
      <c r="C47" s="73"/>
    </row>
    <row r="48" spans="1:3" s="36" customFormat="1" x14ac:dyDescent="0.25">
      <c r="A48" s="36" t="s">
        <v>181</v>
      </c>
      <c r="B48" s="55">
        <f>(B37-B36)*(C36-C34)</f>
        <v>0</v>
      </c>
      <c r="C48" s="73"/>
    </row>
    <row r="49" spans="1:3" s="36" customFormat="1" x14ac:dyDescent="0.25">
      <c r="A49" s="36" t="s">
        <v>182</v>
      </c>
      <c r="B49" s="55">
        <f>(B38-B37)*(C38-C34)</f>
        <v>15.5</v>
      </c>
      <c r="C49" s="73"/>
    </row>
    <row r="50" spans="1:3" s="36" customFormat="1" x14ac:dyDescent="0.25">
      <c r="A50" s="36" t="s">
        <v>183</v>
      </c>
      <c r="B50" s="55">
        <f>(C38-C39)*(B39-B38)/2</f>
        <v>7.2074999999999978</v>
      </c>
      <c r="C50" s="73"/>
    </row>
    <row r="51" spans="1:3" s="36" customFormat="1" x14ac:dyDescent="0.25">
      <c r="B51" s="55"/>
      <c r="C51" s="73"/>
    </row>
    <row r="52" spans="1:3" s="36" customFormat="1" x14ac:dyDescent="0.25">
      <c r="A52" s="36" t="s">
        <v>184</v>
      </c>
      <c r="B52" s="76">
        <f>SUM(B44:B51)</f>
        <v>61.194999999999993</v>
      </c>
      <c r="C52" s="73" t="s">
        <v>188</v>
      </c>
    </row>
    <row r="53" spans="1:3" x14ac:dyDescent="0.25">
      <c r="A53" t="s">
        <v>197</v>
      </c>
      <c r="B53" s="74">
        <f>B39-B34</f>
        <v>27.9</v>
      </c>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1"/>
  <sheetViews>
    <sheetView workbookViewId="0">
      <selection activeCell="L12" sqref="L12"/>
    </sheetView>
  </sheetViews>
  <sheetFormatPr baseColWidth="10" defaultRowHeight="15" x14ac:dyDescent="0.25"/>
  <sheetData>
    <row r="1" spans="1:11" s="10" customFormat="1" x14ac:dyDescent="0.25">
      <c r="A1" s="34" t="s">
        <v>63</v>
      </c>
    </row>
    <row r="2" spans="1:11" x14ac:dyDescent="0.25">
      <c r="F2" s="38" t="s">
        <v>70</v>
      </c>
      <c r="G2" s="39"/>
      <c r="H2" s="40"/>
      <c r="I2" s="39"/>
      <c r="J2" s="39"/>
      <c r="K2" s="41"/>
    </row>
    <row r="3" spans="1:11" x14ac:dyDescent="0.25">
      <c r="A3" s="1" t="s">
        <v>0</v>
      </c>
      <c r="B3" s="2">
        <v>1.544</v>
      </c>
      <c r="C3" t="s">
        <v>61</v>
      </c>
      <c r="F3" s="34" t="s">
        <v>57</v>
      </c>
    </row>
    <row r="4" spans="1:11" x14ac:dyDescent="0.25">
      <c r="A4" s="1" t="s">
        <v>1</v>
      </c>
      <c r="B4" s="2">
        <v>-0.23</v>
      </c>
      <c r="C4" t="s">
        <v>62</v>
      </c>
      <c r="F4" s="35" t="s">
        <v>21</v>
      </c>
      <c r="I4" s="35" t="s">
        <v>64</v>
      </c>
    </row>
    <row r="5" spans="1:11" x14ac:dyDescent="0.25">
      <c r="A5" s="1" t="s">
        <v>2</v>
      </c>
      <c r="B5" s="2">
        <v>5.2999999999999999E-2</v>
      </c>
      <c r="C5" t="s">
        <v>61</v>
      </c>
      <c r="F5" s="34" t="s">
        <v>68</v>
      </c>
    </row>
    <row r="7" spans="1:11" x14ac:dyDescent="0.25">
      <c r="A7" s="3" t="s">
        <v>4</v>
      </c>
      <c r="B7" s="3" t="s">
        <v>3</v>
      </c>
    </row>
    <row r="8" spans="1:11" x14ac:dyDescent="0.25">
      <c r="A8" s="3">
        <v>-2</v>
      </c>
      <c r="B8" s="4">
        <f t="shared" ref="B8:B30" si="0">$B$3+$B$4*A8+$B$5*A8*A8</f>
        <v>2.2160000000000002</v>
      </c>
      <c r="C8" s="36"/>
    </row>
    <row r="9" spans="1:11" x14ac:dyDescent="0.25">
      <c r="A9" s="3">
        <v>-1.8</v>
      </c>
      <c r="B9" s="4">
        <f t="shared" si="0"/>
        <v>2.1297200000000003</v>
      </c>
      <c r="C9" s="36"/>
    </row>
    <row r="10" spans="1:11" x14ac:dyDescent="0.25">
      <c r="A10" s="3">
        <v>-1.6</v>
      </c>
      <c r="B10" s="4">
        <f t="shared" si="0"/>
        <v>2.0476800000000002</v>
      </c>
      <c r="C10" s="36"/>
    </row>
    <row r="11" spans="1:11" x14ac:dyDescent="0.25">
      <c r="A11" s="3">
        <v>-1.4</v>
      </c>
      <c r="B11" s="4">
        <f t="shared" si="0"/>
        <v>1.9698800000000001</v>
      </c>
      <c r="C11" s="36"/>
    </row>
    <row r="12" spans="1:11" x14ac:dyDescent="0.25">
      <c r="A12" s="3">
        <v>-1.2</v>
      </c>
      <c r="B12" s="4">
        <f t="shared" si="0"/>
        <v>1.89632</v>
      </c>
      <c r="C12" s="36"/>
    </row>
    <row r="13" spans="1:11" x14ac:dyDescent="0.25">
      <c r="A13" s="3">
        <v>-1</v>
      </c>
      <c r="B13" s="4">
        <f t="shared" si="0"/>
        <v>1.827</v>
      </c>
    </row>
    <row r="14" spans="1:11" x14ac:dyDescent="0.25">
      <c r="A14" s="3">
        <v>-0.8</v>
      </c>
      <c r="B14" s="4">
        <f t="shared" si="0"/>
        <v>1.7619199999999999</v>
      </c>
    </row>
    <row r="15" spans="1:11" x14ac:dyDescent="0.25">
      <c r="A15" s="3">
        <v>-0.6</v>
      </c>
      <c r="B15" s="4">
        <f t="shared" si="0"/>
        <v>1.7010799999999999</v>
      </c>
    </row>
    <row r="16" spans="1:11" x14ac:dyDescent="0.25">
      <c r="A16" s="3">
        <v>-0.4</v>
      </c>
      <c r="B16" s="4">
        <f t="shared" si="0"/>
        <v>1.6444800000000002</v>
      </c>
    </row>
    <row r="17" spans="1:2" x14ac:dyDescent="0.25">
      <c r="A17" s="3">
        <v>-0.2</v>
      </c>
      <c r="B17" s="4">
        <f t="shared" si="0"/>
        <v>1.59212</v>
      </c>
    </row>
    <row r="18" spans="1:2" x14ac:dyDescent="0.25">
      <c r="A18" s="3">
        <v>0</v>
      </c>
      <c r="B18" s="4">
        <f t="shared" si="0"/>
        <v>1.544</v>
      </c>
    </row>
    <row r="19" spans="1:2" x14ac:dyDescent="0.25">
      <c r="A19" s="3">
        <v>0.2</v>
      </c>
      <c r="B19" s="4">
        <f t="shared" si="0"/>
        <v>1.5001199999999999</v>
      </c>
    </row>
    <row r="20" spans="1:2" x14ac:dyDescent="0.25">
      <c r="A20" s="3">
        <v>0.4</v>
      </c>
      <c r="B20" s="4">
        <f t="shared" si="0"/>
        <v>1.46048</v>
      </c>
    </row>
    <row r="21" spans="1:2" x14ac:dyDescent="0.25">
      <c r="A21" s="3">
        <v>0.6</v>
      </c>
      <c r="B21" s="4">
        <f t="shared" si="0"/>
        <v>1.4250800000000001</v>
      </c>
    </row>
    <row r="22" spans="1:2" x14ac:dyDescent="0.25">
      <c r="A22" s="3">
        <v>0.8</v>
      </c>
      <c r="B22" s="4">
        <f t="shared" si="0"/>
        <v>1.39392</v>
      </c>
    </row>
    <row r="23" spans="1:2" x14ac:dyDescent="0.25">
      <c r="A23" s="3">
        <v>1</v>
      </c>
      <c r="B23" s="4">
        <f t="shared" si="0"/>
        <v>1.367</v>
      </c>
    </row>
    <row r="24" spans="1:2" x14ac:dyDescent="0.25">
      <c r="A24" s="3">
        <v>1.2</v>
      </c>
      <c r="B24" s="4">
        <f t="shared" si="0"/>
        <v>1.34432</v>
      </c>
    </row>
    <row r="25" spans="1:2" x14ac:dyDescent="0.25">
      <c r="A25" s="3">
        <v>1.4</v>
      </c>
      <c r="B25" s="4">
        <f t="shared" si="0"/>
        <v>1.3258799999999999</v>
      </c>
    </row>
    <row r="26" spans="1:2" x14ac:dyDescent="0.25">
      <c r="A26" s="3">
        <v>1.6</v>
      </c>
      <c r="B26" s="4">
        <f t="shared" si="0"/>
        <v>1.31168</v>
      </c>
    </row>
    <row r="27" spans="1:2" x14ac:dyDescent="0.25">
      <c r="A27" s="3">
        <v>1.8</v>
      </c>
      <c r="B27" s="4">
        <f t="shared" si="0"/>
        <v>1.30172</v>
      </c>
    </row>
    <row r="28" spans="1:2" x14ac:dyDescent="0.25">
      <c r="A28" s="3">
        <v>2</v>
      </c>
      <c r="B28" s="4">
        <f t="shared" si="0"/>
        <v>1.296</v>
      </c>
    </row>
    <row r="29" spans="1:2" x14ac:dyDescent="0.25">
      <c r="A29" s="3">
        <v>2.2000000000000002</v>
      </c>
      <c r="B29" s="4">
        <f t="shared" si="0"/>
        <v>1.2945199999999999</v>
      </c>
    </row>
    <row r="30" spans="1:2" x14ac:dyDescent="0.25">
      <c r="A30" s="3">
        <v>2.4</v>
      </c>
      <c r="B30" s="4">
        <f t="shared" si="0"/>
        <v>1.29728</v>
      </c>
    </row>
    <row r="34" spans="1:6" x14ac:dyDescent="0.25">
      <c r="A34" s="3"/>
      <c r="B34" s="4"/>
    </row>
    <row r="35" spans="1:6" x14ac:dyDescent="0.25">
      <c r="A35" s="1" t="s">
        <v>6</v>
      </c>
      <c r="B35" s="6">
        <v>0.25</v>
      </c>
      <c r="C35" s="1" t="s">
        <v>6</v>
      </c>
      <c r="D35" s="6">
        <v>0.5</v>
      </c>
      <c r="E35" s="1" t="s">
        <v>6</v>
      </c>
      <c r="F35" s="6">
        <v>1</v>
      </c>
    </row>
    <row r="36" spans="1:6" x14ac:dyDescent="0.25">
      <c r="A36" s="5" t="s">
        <v>5</v>
      </c>
      <c r="B36" s="2">
        <v>1.58</v>
      </c>
      <c r="C36" s="5" t="s">
        <v>5</v>
      </c>
      <c r="D36" s="2">
        <v>1.58</v>
      </c>
      <c r="E36" s="5" t="s">
        <v>5</v>
      </c>
      <c r="F36" s="2">
        <v>1.58</v>
      </c>
    </row>
    <row r="37" spans="1:6" x14ac:dyDescent="0.25">
      <c r="A37" s="3" t="s">
        <v>8</v>
      </c>
      <c r="B37" s="3" t="s">
        <v>7</v>
      </c>
      <c r="C37" s="3" t="s">
        <v>8</v>
      </c>
      <c r="D37" s="3" t="s">
        <v>7</v>
      </c>
      <c r="E37" s="3" t="s">
        <v>8</v>
      </c>
      <c r="F37" s="3" t="s">
        <v>7</v>
      </c>
    </row>
    <row r="38" spans="1:6" x14ac:dyDescent="0.25">
      <c r="A38" s="4">
        <f t="shared" ref="A38:A60" si="1">A8*$B$35</f>
        <v>-0.5</v>
      </c>
      <c r="B38" s="4">
        <f t="shared" ref="B38:B60" si="2">B8*$B$35*$B$36</f>
        <v>0.8753200000000001</v>
      </c>
      <c r="C38" s="4">
        <f t="shared" ref="C38:C60" si="3">A8*$D$35</f>
        <v>-1</v>
      </c>
      <c r="D38" s="4">
        <f t="shared" ref="D38:D60" si="4">B8*$D$35*$D$36</f>
        <v>1.7506400000000002</v>
      </c>
      <c r="E38" s="4">
        <f t="shared" ref="E38:E60" si="5">A8*$F$35</f>
        <v>-2</v>
      </c>
      <c r="F38" s="4">
        <f t="shared" ref="F38:F60" si="6">B8*$F$35*$F$36</f>
        <v>3.5012800000000004</v>
      </c>
    </row>
    <row r="39" spans="1:6" x14ac:dyDescent="0.25">
      <c r="A39" s="4">
        <f t="shared" si="1"/>
        <v>-0.45</v>
      </c>
      <c r="B39" s="4">
        <f t="shared" si="2"/>
        <v>0.84123940000000019</v>
      </c>
      <c r="C39" s="4">
        <f t="shared" si="3"/>
        <v>-0.9</v>
      </c>
      <c r="D39" s="4">
        <f t="shared" si="4"/>
        <v>1.6824788000000004</v>
      </c>
      <c r="E39" s="4">
        <f t="shared" si="5"/>
        <v>-1.8</v>
      </c>
      <c r="F39" s="4">
        <f t="shared" si="6"/>
        <v>3.3649576000000008</v>
      </c>
    </row>
    <row r="40" spans="1:6" x14ac:dyDescent="0.25">
      <c r="A40" s="4">
        <f t="shared" si="1"/>
        <v>-0.4</v>
      </c>
      <c r="B40" s="4">
        <f t="shared" si="2"/>
        <v>0.80883360000000015</v>
      </c>
      <c r="C40" s="4">
        <f t="shared" si="3"/>
        <v>-0.8</v>
      </c>
      <c r="D40" s="4">
        <f t="shared" si="4"/>
        <v>1.6176672000000003</v>
      </c>
      <c r="E40" s="4">
        <f t="shared" si="5"/>
        <v>-1.6</v>
      </c>
      <c r="F40" s="4">
        <f t="shared" si="6"/>
        <v>3.2353344000000006</v>
      </c>
    </row>
    <row r="41" spans="1:6" x14ac:dyDescent="0.25">
      <c r="A41" s="4">
        <f t="shared" si="1"/>
        <v>-0.35</v>
      </c>
      <c r="B41" s="4">
        <f t="shared" si="2"/>
        <v>0.77810260000000009</v>
      </c>
      <c r="C41" s="4">
        <f t="shared" si="3"/>
        <v>-0.7</v>
      </c>
      <c r="D41" s="4">
        <f t="shared" si="4"/>
        <v>1.5562052000000002</v>
      </c>
      <c r="E41" s="4">
        <f t="shared" si="5"/>
        <v>-1.4</v>
      </c>
      <c r="F41" s="4">
        <f t="shared" si="6"/>
        <v>3.1124104000000004</v>
      </c>
    </row>
    <row r="42" spans="1:6" x14ac:dyDescent="0.25">
      <c r="A42" s="4">
        <f t="shared" si="1"/>
        <v>-0.3</v>
      </c>
      <c r="B42" s="4">
        <f t="shared" si="2"/>
        <v>0.7490464</v>
      </c>
      <c r="C42" s="4">
        <f t="shared" si="3"/>
        <v>-0.6</v>
      </c>
      <c r="D42" s="4">
        <f t="shared" si="4"/>
        <v>1.4980928</v>
      </c>
      <c r="E42" s="4">
        <f t="shared" si="5"/>
        <v>-1.2</v>
      </c>
      <c r="F42" s="4">
        <f t="shared" si="6"/>
        <v>2.9961856</v>
      </c>
    </row>
    <row r="43" spans="1:6" x14ac:dyDescent="0.25">
      <c r="A43" s="4">
        <f t="shared" si="1"/>
        <v>-0.25</v>
      </c>
      <c r="B43" s="4">
        <f t="shared" si="2"/>
        <v>0.721665</v>
      </c>
      <c r="C43" s="4">
        <f t="shared" si="3"/>
        <v>-0.5</v>
      </c>
      <c r="D43" s="4">
        <f t="shared" si="4"/>
        <v>1.44333</v>
      </c>
      <c r="E43" s="4">
        <f t="shared" si="5"/>
        <v>-1</v>
      </c>
      <c r="F43" s="4">
        <f t="shared" si="6"/>
        <v>2.88666</v>
      </c>
    </row>
    <row r="44" spans="1:6" x14ac:dyDescent="0.25">
      <c r="A44" s="4">
        <f t="shared" si="1"/>
        <v>-0.2</v>
      </c>
      <c r="B44" s="4">
        <f t="shared" si="2"/>
        <v>0.69595839999999998</v>
      </c>
      <c r="C44" s="4">
        <f t="shared" si="3"/>
        <v>-0.4</v>
      </c>
      <c r="D44" s="4">
        <f t="shared" si="4"/>
        <v>1.3919168</v>
      </c>
      <c r="E44" s="4">
        <f t="shared" si="5"/>
        <v>-0.8</v>
      </c>
      <c r="F44" s="4">
        <f t="shared" si="6"/>
        <v>2.7838335999999999</v>
      </c>
    </row>
    <row r="45" spans="1:6" x14ac:dyDescent="0.25">
      <c r="A45" s="4">
        <f t="shared" si="1"/>
        <v>-0.15</v>
      </c>
      <c r="B45" s="4">
        <f t="shared" si="2"/>
        <v>0.67192660000000004</v>
      </c>
      <c r="C45" s="4">
        <f t="shared" si="3"/>
        <v>-0.3</v>
      </c>
      <c r="D45" s="4">
        <f t="shared" si="4"/>
        <v>1.3438532000000001</v>
      </c>
      <c r="E45" s="4">
        <f t="shared" si="5"/>
        <v>-0.6</v>
      </c>
      <c r="F45" s="4">
        <f t="shared" si="6"/>
        <v>2.6877064000000002</v>
      </c>
    </row>
    <row r="46" spans="1:6" x14ac:dyDescent="0.25">
      <c r="A46" s="4">
        <f t="shared" si="1"/>
        <v>-0.1</v>
      </c>
      <c r="B46" s="4">
        <f t="shared" si="2"/>
        <v>0.64956960000000008</v>
      </c>
      <c r="C46" s="4">
        <f t="shared" si="3"/>
        <v>-0.2</v>
      </c>
      <c r="D46" s="4">
        <f t="shared" si="4"/>
        <v>1.2991392000000002</v>
      </c>
      <c r="E46" s="4">
        <f t="shared" si="5"/>
        <v>-0.4</v>
      </c>
      <c r="F46" s="4">
        <f t="shared" si="6"/>
        <v>2.5982784000000003</v>
      </c>
    </row>
    <row r="47" spans="1:6" x14ac:dyDescent="0.25">
      <c r="A47" s="4">
        <f t="shared" si="1"/>
        <v>-0.05</v>
      </c>
      <c r="B47" s="4">
        <f t="shared" si="2"/>
        <v>0.62888739999999999</v>
      </c>
      <c r="C47" s="4">
        <f t="shared" si="3"/>
        <v>-0.1</v>
      </c>
      <c r="D47" s="4">
        <f t="shared" si="4"/>
        <v>1.2577748</v>
      </c>
      <c r="E47" s="4">
        <f t="shared" si="5"/>
        <v>-0.2</v>
      </c>
      <c r="F47" s="4">
        <f t="shared" si="6"/>
        <v>2.5155495999999999</v>
      </c>
    </row>
    <row r="48" spans="1:6" x14ac:dyDescent="0.25">
      <c r="A48" s="4">
        <f t="shared" si="1"/>
        <v>0</v>
      </c>
      <c r="B48" s="4">
        <f t="shared" si="2"/>
        <v>0.60988000000000009</v>
      </c>
      <c r="C48" s="4">
        <f t="shared" si="3"/>
        <v>0</v>
      </c>
      <c r="D48" s="4">
        <f t="shared" si="4"/>
        <v>1.2197600000000002</v>
      </c>
      <c r="E48" s="4">
        <f t="shared" si="5"/>
        <v>0</v>
      </c>
      <c r="F48" s="4">
        <f t="shared" si="6"/>
        <v>2.4395200000000004</v>
      </c>
    </row>
    <row r="49" spans="1:6" x14ac:dyDescent="0.25">
      <c r="A49" s="4">
        <f t="shared" si="1"/>
        <v>0.05</v>
      </c>
      <c r="B49" s="4">
        <f t="shared" si="2"/>
        <v>0.59254739999999995</v>
      </c>
      <c r="C49" s="4">
        <f t="shared" si="3"/>
        <v>0.1</v>
      </c>
      <c r="D49" s="4">
        <f t="shared" si="4"/>
        <v>1.1850947999999999</v>
      </c>
      <c r="E49" s="4">
        <f t="shared" si="5"/>
        <v>0.2</v>
      </c>
      <c r="F49" s="4">
        <f t="shared" si="6"/>
        <v>2.3701895999999998</v>
      </c>
    </row>
    <row r="50" spans="1:6" x14ac:dyDescent="0.25">
      <c r="A50" s="4">
        <f t="shared" si="1"/>
        <v>0.1</v>
      </c>
      <c r="B50" s="4">
        <f t="shared" si="2"/>
        <v>0.5768896</v>
      </c>
      <c r="C50" s="4">
        <f t="shared" si="3"/>
        <v>0.2</v>
      </c>
      <c r="D50" s="4">
        <f t="shared" si="4"/>
        <v>1.1537792</v>
      </c>
      <c r="E50" s="4">
        <f t="shared" si="5"/>
        <v>0.4</v>
      </c>
      <c r="F50" s="4">
        <f t="shared" si="6"/>
        <v>2.3075584</v>
      </c>
    </row>
    <row r="51" spans="1:6" x14ac:dyDescent="0.25">
      <c r="A51" s="4">
        <f t="shared" si="1"/>
        <v>0.15</v>
      </c>
      <c r="B51" s="4">
        <f t="shared" si="2"/>
        <v>0.56290660000000003</v>
      </c>
      <c r="C51" s="4">
        <f t="shared" si="3"/>
        <v>0.3</v>
      </c>
      <c r="D51" s="4">
        <f t="shared" si="4"/>
        <v>1.1258132000000001</v>
      </c>
      <c r="E51" s="4">
        <f t="shared" si="5"/>
        <v>0.6</v>
      </c>
      <c r="F51" s="4">
        <f t="shared" si="6"/>
        <v>2.2516264000000001</v>
      </c>
    </row>
    <row r="52" spans="1:6" x14ac:dyDescent="0.25">
      <c r="A52" s="4">
        <f t="shared" si="1"/>
        <v>0.2</v>
      </c>
      <c r="B52" s="4">
        <f t="shared" si="2"/>
        <v>0.55059840000000004</v>
      </c>
      <c r="C52" s="4">
        <f t="shared" si="3"/>
        <v>0.4</v>
      </c>
      <c r="D52" s="4">
        <f t="shared" si="4"/>
        <v>1.1011968000000001</v>
      </c>
      <c r="E52" s="4">
        <f t="shared" si="5"/>
        <v>0.8</v>
      </c>
      <c r="F52" s="4">
        <f t="shared" si="6"/>
        <v>2.2023936000000002</v>
      </c>
    </row>
    <row r="53" spans="1:6" x14ac:dyDescent="0.25">
      <c r="A53" s="4">
        <f t="shared" si="1"/>
        <v>0.25</v>
      </c>
      <c r="B53" s="4">
        <f t="shared" si="2"/>
        <v>0.53996500000000003</v>
      </c>
      <c r="C53" s="4">
        <f t="shared" si="3"/>
        <v>0.5</v>
      </c>
      <c r="D53" s="4">
        <f t="shared" si="4"/>
        <v>1.0799300000000001</v>
      </c>
      <c r="E53" s="4">
        <f t="shared" si="5"/>
        <v>1</v>
      </c>
      <c r="F53" s="4">
        <f t="shared" si="6"/>
        <v>2.1598600000000001</v>
      </c>
    </row>
    <row r="54" spans="1:6" x14ac:dyDescent="0.25">
      <c r="A54" s="4">
        <f t="shared" si="1"/>
        <v>0.3</v>
      </c>
      <c r="B54" s="4">
        <f t="shared" si="2"/>
        <v>0.53100639999999999</v>
      </c>
      <c r="C54" s="4">
        <f t="shared" si="3"/>
        <v>0.6</v>
      </c>
      <c r="D54" s="4">
        <f t="shared" si="4"/>
        <v>1.0620128</v>
      </c>
      <c r="E54" s="4">
        <f t="shared" si="5"/>
        <v>1.2</v>
      </c>
      <c r="F54" s="4">
        <f t="shared" si="6"/>
        <v>2.1240256</v>
      </c>
    </row>
    <row r="55" spans="1:6" x14ac:dyDescent="0.25">
      <c r="A55" s="4">
        <f t="shared" si="1"/>
        <v>0.35</v>
      </c>
      <c r="B55" s="4">
        <f t="shared" si="2"/>
        <v>0.52372260000000004</v>
      </c>
      <c r="C55" s="4">
        <f t="shared" si="3"/>
        <v>0.7</v>
      </c>
      <c r="D55" s="4">
        <f t="shared" si="4"/>
        <v>1.0474452000000001</v>
      </c>
      <c r="E55" s="4">
        <f t="shared" si="5"/>
        <v>1.4</v>
      </c>
      <c r="F55" s="4">
        <f t="shared" si="6"/>
        <v>2.0948904000000002</v>
      </c>
    </row>
    <row r="56" spans="1:6" x14ac:dyDescent="0.25">
      <c r="A56" s="4">
        <f t="shared" si="1"/>
        <v>0.4</v>
      </c>
      <c r="B56" s="4">
        <f t="shared" si="2"/>
        <v>0.51811359999999995</v>
      </c>
      <c r="C56" s="4">
        <f t="shared" si="3"/>
        <v>0.8</v>
      </c>
      <c r="D56" s="4">
        <f t="shared" si="4"/>
        <v>1.0362271999999999</v>
      </c>
      <c r="E56" s="4">
        <f t="shared" si="5"/>
        <v>1.6</v>
      </c>
      <c r="F56" s="4">
        <f t="shared" si="6"/>
        <v>2.0724543999999998</v>
      </c>
    </row>
    <row r="57" spans="1:6" x14ac:dyDescent="0.25">
      <c r="A57" s="4">
        <f t="shared" si="1"/>
        <v>0.45</v>
      </c>
      <c r="B57" s="4">
        <f t="shared" si="2"/>
        <v>0.51417940000000006</v>
      </c>
      <c r="C57" s="4">
        <f t="shared" si="3"/>
        <v>0.9</v>
      </c>
      <c r="D57" s="4">
        <f t="shared" si="4"/>
        <v>1.0283588000000001</v>
      </c>
      <c r="E57" s="4">
        <f t="shared" si="5"/>
        <v>1.8</v>
      </c>
      <c r="F57" s="4">
        <f t="shared" si="6"/>
        <v>2.0567176000000003</v>
      </c>
    </row>
    <row r="58" spans="1:6" x14ac:dyDescent="0.25">
      <c r="A58" s="4">
        <f t="shared" si="1"/>
        <v>0.5</v>
      </c>
      <c r="B58" s="4">
        <f t="shared" si="2"/>
        <v>0.51192000000000004</v>
      </c>
      <c r="C58" s="4">
        <f t="shared" si="3"/>
        <v>1</v>
      </c>
      <c r="D58" s="4">
        <f t="shared" si="4"/>
        <v>1.0238400000000001</v>
      </c>
      <c r="E58" s="4">
        <f t="shared" si="5"/>
        <v>2</v>
      </c>
      <c r="F58" s="4">
        <f t="shared" si="6"/>
        <v>2.0476800000000002</v>
      </c>
    </row>
    <row r="59" spans="1:6" x14ac:dyDescent="0.25">
      <c r="A59" s="4">
        <f t="shared" si="1"/>
        <v>0.55000000000000004</v>
      </c>
      <c r="B59" s="4">
        <f t="shared" si="2"/>
        <v>0.5113354</v>
      </c>
      <c r="C59" s="4">
        <f t="shared" si="3"/>
        <v>1.1000000000000001</v>
      </c>
      <c r="D59" s="4">
        <f t="shared" si="4"/>
        <v>1.0226708</v>
      </c>
      <c r="E59" s="4">
        <f t="shared" si="5"/>
        <v>2.2000000000000002</v>
      </c>
      <c r="F59" s="4">
        <f t="shared" si="6"/>
        <v>2.0453416</v>
      </c>
    </row>
    <row r="60" spans="1:6" x14ac:dyDescent="0.25">
      <c r="A60" s="4">
        <f t="shared" si="1"/>
        <v>0.6</v>
      </c>
      <c r="B60" s="4">
        <f t="shared" si="2"/>
        <v>0.51242560000000004</v>
      </c>
      <c r="C60" s="4">
        <f t="shared" si="3"/>
        <v>1.2</v>
      </c>
      <c r="D60" s="4">
        <f t="shared" si="4"/>
        <v>1.0248512000000001</v>
      </c>
      <c r="E60" s="4">
        <f t="shared" si="5"/>
        <v>2.4</v>
      </c>
      <c r="F60" s="4">
        <f t="shared" si="6"/>
        <v>2.0497024000000001</v>
      </c>
    </row>
    <row r="61" spans="1:6" x14ac:dyDescent="0.25">
      <c r="A61" s="3"/>
      <c r="B61" s="3"/>
    </row>
    <row r="62" spans="1:6" s="36" customFormat="1" x14ac:dyDescent="0.25">
      <c r="A62" s="3"/>
      <c r="B62" s="3"/>
    </row>
    <row r="63" spans="1:6" s="36" customFormat="1" x14ac:dyDescent="0.25">
      <c r="A63" s="3"/>
      <c r="B63" s="3"/>
    </row>
    <row r="64" spans="1:6" s="36" customFormat="1" x14ac:dyDescent="0.25">
      <c r="A64" s="3"/>
      <c r="B64" s="3"/>
    </row>
    <row r="65" spans="1:7" x14ac:dyDescent="0.25">
      <c r="A65" s="3"/>
      <c r="B65" s="3"/>
    </row>
    <row r="66" spans="1:7" x14ac:dyDescent="0.25">
      <c r="A66" s="3"/>
      <c r="B66" s="3"/>
    </row>
    <row r="67" spans="1:7" x14ac:dyDescent="0.25">
      <c r="A67" s="2" t="s">
        <v>67</v>
      </c>
      <c r="B67" s="3"/>
    </row>
    <row r="68" spans="1:7" x14ac:dyDescent="0.25">
      <c r="A68" s="3" t="s">
        <v>30</v>
      </c>
      <c r="B68" s="3" t="s">
        <v>29</v>
      </c>
      <c r="C68" s="3" t="s">
        <v>44</v>
      </c>
      <c r="D68" s="3" t="s">
        <v>32</v>
      </c>
      <c r="E68" s="3"/>
      <c r="F68" s="2" t="s">
        <v>61</v>
      </c>
    </row>
    <row r="69" spans="1:7" x14ac:dyDescent="0.25">
      <c r="A69" s="3">
        <v>13</v>
      </c>
      <c r="B69" s="3">
        <v>40</v>
      </c>
      <c r="C69" s="4">
        <f>A69/B69</f>
        <v>0.32500000000000001</v>
      </c>
      <c r="D69" s="4">
        <v>1.4</v>
      </c>
      <c r="E69" s="4"/>
      <c r="F69" t="s">
        <v>61</v>
      </c>
    </row>
    <row r="70" spans="1:7" x14ac:dyDescent="0.25">
      <c r="A70" s="3">
        <v>15</v>
      </c>
      <c r="B70" s="3">
        <v>60</v>
      </c>
      <c r="C70" s="4">
        <f t="shared" ref="C70:C78" si="7">A70/B70</f>
        <v>0.25</v>
      </c>
      <c r="D70" s="4">
        <v>1.4</v>
      </c>
      <c r="E70" s="4"/>
      <c r="F70" t="s">
        <v>61</v>
      </c>
    </row>
    <row r="71" spans="1:7" x14ac:dyDescent="0.25">
      <c r="A71" s="3">
        <v>15</v>
      </c>
      <c r="B71" s="3">
        <v>45</v>
      </c>
      <c r="C71" s="4">
        <f t="shared" si="7"/>
        <v>0.33333333333333331</v>
      </c>
      <c r="D71" s="4">
        <v>1.4</v>
      </c>
      <c r="E71" s="4"/>
      <c r="F71" t="s">
        <v>61</v>
      </c>
    </row>
    <row r="72" spans="1:7" x14ac:dyDescent="0.25">
      <c r="A72" s="3">
        <v>18</v>
      </c>
      <c r="B72" s="3">
        <v>65</v>
      </c>
      <c r="C72" s="4">
        <f t="shared" si="7"/>
        <v>0.27692307692307694</v>
      </c>
      <c r="D72" s="4">
        <v>1.4</v>
      </c>
      <c r="E72" s="4"/>
      <c r="F72" s="37" t="s">
        <v>71</v>
      </c>
      <c r="G72" s="42">
        <f>AVERAGE(C69:C76)</f>
        <v>0.30587159026360478</v>
      </c>
    </row>
    <row r="73" spans="1:7" x14ac:dyDescent="0.25">
      <c r="A73" s="3">
        <v>12</v>
      </c>
      <c r="B73" s="3">
        <v>38</v>
      </c>
      <c r="C73" s="4">
        <f t="shared" si="7"/>
        <v>0.31578947368421051</v>
      </c>
      <c r="D73" s="4">
        <v>1.4</v>
      </c>
      <c r="E73" s="4"/>
      <c r="F73" s="36" t="s">
        <v>61</v>
      </c>
    </row>
    <row r="74" spans="1:7" x14ac:dyDescent="0.25">
      <c r="A74" s="3">
        <v>18</v>
      </c>
      <c r="B74" s="3">
        <v>58</v>
      </c>
      <c r="C74" s="4">
        <f t="shared" si="7"/>
        <v>0.31034482758620691</v>
      </c>
      <c r="D74" s="4">
        <v>1.4</v>
      </c>
      <c r="E74" s="4"/>
      <c r="F74" t="s">
        <v>61</v>
      </c>
    </row>
    <row r="75" spans="1:7" x14ac:dyDescent="0.25">
      <c r="A75" s="3">
        <v>19</v>
      </c>
      <c r="B75" s="3">
        <v>56</v>
      </c>
      <c r="C75" s="4">
        <f t="shared" si="7"/>
        <v>0.3392857142857143</v>
      </c>
      <c r="D75" s="4">
        <v>1.4</v>
      </c>
      <c r="E75" s="4"/>
      <c r="F75" t="s">
        <v>61</v>
      </c>
    </row>
    <row r="76" spans="1:7" x14ac:dyDescent="0.25">
      <c r="A76" s="3">
        <v>16</v>
      </c>
      <c r="B76" s="3">
        <v>54</v>
      </c>
      <c r="C76" s="4">
        <f t="shared" si="7"/>
        <v>0.29629629629629628</v>
      </c>
      <c r="D76" s="4">
        <v>1.4</v>
      </c>
      <c r="E76" s="4"/>
      <c r="F76" t="s">
        <v>61</v>
      </c>
    </row>
    <row r="77" spans="1:7" x14ac:dyDescent="0.25">
      <c r="A77" s="3">
        <v>15</v>
      </c>
      <c r="B77" s="3">
        <v>58</v>
      </c>
      <c r="C77" s="4">
        <f t="shared" si="7"/>
        <v>0.25862068965517243</v>
      </c>
      <c r="D77" s="4">
        <v>1.8</v>
      </c>
      <c r="E77" s="4"/>
    </row>
    <row r="78" spans="1:7" x14ac:dyDescent="0.25">
      <c r="A78" s="3">
        <v>11</v>
      </c>
      <c r="B78" s="3">
        <v>54</v>
      </c>
      <c r="C78" s="4">
        <f t="shared" si="7"/>
        <v>0.20370370370370369</v>
      </c>
      <c r="D78" s="4">
        <v>1.8</v>
      </c>
      <c r="F78" s="36"/>
    </row>
    <row r="100" spans="1:9" x14ac:dyDescent="0.25">
      <c r="A100" s="36"/>
      <c r="B100" s="36"/>
      <c r="C100" s="36"/>
      <c r="D100" s="10" t="s">
        <v>66</v>
      </c>
      <c r="E100" s="10"/>
      <c r="F100" s="10"/>
      <c r="G100" s="10"/>
      <c r="H100" s="10"/>
      <c r="I100" s="10"/>
    </row>
    <row r="101" spans="1:9" x14ac:dyDescent="0.25">
      <c r="A101" s="36"/>
      <c r="B101" s="36"/>
      <c r="C101" s="36"/>
      <c r="D101" s="10" t="s">
        <v>65</v>
      </c>
    </row>
    <row r="102" spans="1:9" x14ac:dyDescent="0.25">
      <c r="A102" s="10" t="s">
        <v>59</v>
      </c>
      <c r="B102" s="10"/>
      <c r="C102" s="10"/>
    </row>
    <row r="103" spans="1:9" x14ac:dyDescent="0.25">
      <c r="A103" s="1" t="s">
        <v>0</v>
      </c>
      <c r="B103" s="2">
        <v>1.544</v>
      </c>
    </row>
    <row r="104" spans="1:9" x14ac:dyDescent="0.25">
      <c r="A104" s="1" t="s">
        <v>1</v>
      </c>
      <c r="B104" s="2">
        <v>-0.23</v>
      </c>
    </row>
    <row r="105" spans="1:9" x14ac:dyDescent="0.25">
      <c r="A105" s="1" t="s">
        <v>2</v>
      </c>
      <c r="B105" s="2">
        <v>5.2999999999999999E-2</v>
      </c>
    </row>
    <row r="106" spans="1:9" x14ac:dyDescent="0.25">
      <c r="A106" s="33" t="s">
        <v>9</v>
      </c>
      <c r="B106" s="44">
        <f>G72</f>
        <v>0.30587159026360478</v>
      </c>
      <c r="C106" s="9" t="s">
        <v>58</v>
      </c>
    </row>
    <row r="108" spans="1:9" x14ac:dyDescent="0.25">
      <c r="A108" s="21" t="s">
        <v>10</v>
      </c>
      <c r="B108" s="21" t="s">
        <v>11</v>
      </c>
    </row>
    <row r="109" spans="1:9" x14ac:dyDescent="0.25">
      <c r="A109" s="22">
        <v>2.4</v>
      </c>
      <c r="B109" s="11">
        <f t="shared" ref="B109:B131" si="8">($B$103+$B$104*A109+$B$105*A109*A109)/$B$106</f>
        <v>4.2412569238025162</v>
      </c>
      <c r="C109" s="23"/>
    </row>
    <row r="110" spans="1:9" x14ac:dyDescent="0.25">
      <c r="A110" s="22">
        <v>2.2000000000000002</v>
      </c>
      <c r="B110" s="11">
        <f t="shared" si="8"/>
        <v>4.2322335293852005</v>
      </c>
      <c r="C110" s="23"/>
    </row>
    <row r="111" spans="1:9" x14ac:dyDescent="0.25">
      <c r="A111" s="22">
        <v>2</v>
      </c>
      <c r="B111" s="11">
        <f t="shared" si="8"/>
        <v>4.2370721611741962</v>
      </c>
      <c r="C111" s="23"/>
    </row>
    <row r="112" spans="1:9" x14ac:dyDescent="0.25">
      <c r="A112" s="22">
        <v>1.8</v>
      </c>
      <c r="B112" s="11">
        <f t="shared" si="8"/>
        <v>4.2557728191695015</v>
      </c>
      <c r="C112" s="23"/>
    </row>
    <row r="113" spans="1:3" x14ac:dyDescent="0.25">
      <c r="A113" s="22">
        <v>1.6</v>
      </c>
      <c r="B113" s="11">
        <f t="shared" si="8"/>
        <v>4.2883355033711181</v>
      </c>
      <c r="C113" s="23"/>
    </row>
    <row r="114" spans="1:3" x14ac:dyDescent="0.25">
      <c r="A114" s="22">
        <v>1.4</v>
      </c>
      <c r="B114" s="11">
        <f t="shared" si="8"/>
        <v>4.3347602137790453</v>
      </c>
    </row>
    <row r="115" spans="1:3" x14ac:dyDescent="0.25">
      <c r="A115" s="22">
        <v>1.2</v>
      </c>
      <c r="B115" s="11">
        <f t="shared" si="8"/>
        <v>4.395046950393283</v>
      </c>
    </row>
    <row r="116" spans="1:3" x14ac:dyDescent="0.25">
      <c r="A116" s="22">
        <v>1</v>
      </c>
      <c r="B116" s="11">
        <f t="shared" si="8"/>
        <v>4.4691957132138311</v>
      </c>
    </row>
    <row r="117" spans="1:3" x14ac:dyDescent="0.25">
      <c r="A117" s="22">
        <v>0.8</v>
      </c>
      <c r="B117" s="11">
        <f t="shared" si="8"/>
        <v>4.5572065022406907</v>
      </c>
    </row>
    <row r="118" spans="1:3" x14ac:dyDescent="0.25">
      <c r="A118" s="22">
        <v>0.6</v>
      </c>
      <c r="B118" s="11">
        <f t="shared" si="8"/>
        <v>4.6590793174738607</v>
      </c>
    </row>
    <row r="119" spans="1:3" x14ac:dyDescent="0.25">
      <c r="A119" s="22">
        <v>0.4</v>
      </c>
      <c r="B119" s="11">
        <f t="shared" si="8"/>
        <v>4.7748141589133404</v>
      </c>
    </row>
    <row r="120" spans="1:3" x14ac:dyDescent="0.25">
      <c r="A120" s="22">
        <v>0.2</v>
      </c>
      <c r="B120" s="11">
        <f t="shared" si="8"/>
        <v>4.9044110265591314</v>
      </c>
    </row>
    <row r="121" spans="1:3" x14ac:dyDescent="0.25">
      <c r="A121" s="7">
        <v>0</v>
      </c>
      <c r="B121" s="8">
        <f t="shared" si="8"/>
        <v>5.0478699204112338</v>
      </c>
      <c r="C121" s="9" t="s">
        <v>16</v>
      </c>
    </row>
    <row r="122" spans="1:3" x14ac:dyDescent="0.25">
      <c r="A122" s="22">
        <v>-0.2</v>
      </c>
      <c r="B122" s="11">
        <f t="shared" si="8"/>
        <v>5.2051908404696459</v>
      </c>
    </row>
    <row r="123" spans="1:3" x14ac:dyDescent="0.25">
      <c r="A123" s="22">
        <v>-0.4</v>
      </c>
      <c r="B123" s="11">
        <f t="shared" si="8"/>
        <v>5.3763737867343693</v>
      </c>
    </row>
    <row r="124" spans="1:3" x14ac:dyDescent="0.25">
      <c r="A124" s="22">
        <v>-0.6</v>
      </c>
      <c r="B124" s="11">
        <f t="shared" si="8"/>
        <v>5.5614187592054014</v>
      </c>
    </row>
    <row r="125" spans="1:3" x14ac:dyDescent="0.25">
      <c r="A125" s="22">
        <v>-0.8</v>
      </c>
      <c r="B125" s="11">
        <f t="shared" si="8"/>
        <v>5.7603257578827458</v>
      </c>
    </row>
    <row r="126" spans="1:3" x14ac:dyDescent="0.25">
      <c r="A126" s="22">
        <v>-1</v>
      </c>
      <c r="B126" s="11">
        <f t="shared" si="8"/>
        <v>5.9730947827664007</v>
      </c>
    </row>
    <row r="127" spans="1:3" x14ac:dyDescent="0.25">
      <c r="A127" s="22">
        <v>-1.2</v>
      </c>
      <c r="B127" s="11">
        <f t="shared" si="8"/>
        <v>6.1997258338563661</v>
      </c>
    </row>
    <row r="128" spans="1:3" x14ac:dyDescent="0.25">
      <c r="A128" s="22">
        <v>-1.3999999999999899</v>
      </c>
      <c r="B128" s="11">
        <f t="shared" si="8"/>
        <v>6.4402189111526296</v>
      </c>
    </row>
    <row r="129" spans="1:2" x14ac:dyDescent="0.25">
      <c r="A129" s="22">
        <v>-1.5999999999999901</v>
      </c>
      <c r="B129" s="11">
        <f t="shared" si="8"/>
        <v>6.6945740146552168</v>
      </c>
    </row>
    <row r="130" spans="1:2" x14ac:dyDescent="0.25">
      <c r="A130" s="22">
        <v>-1.7999999999999901</v>
      </c>
      <c r="B130" s="11">
        <f t="shared" si="8"/>
        <v>6.9627911443641128</v>
      </c>
    </row>
    <row r="131" spans="1:2" x14ac:dyDescent="0.25">
      <c r="A131" s="22">
        <v>-1.99999999999999</v>
      </c>
      <c r="B131" s="11">
        <f t="shared" si="8"/>
        <v>7.2448703002793211</v>
      </c>
    </row>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G24" sqref="G24"/>
    </sheetView>
  </sheetViews>
  <sheetFormatPr baseColWidth="10" defaultRowHeight="15" x14ac:dyDescent="0.25"/>
  <sheetData>
    <row r="1" spans="1:4" s="10" customFormat="1" x14ac:dyDescent="0.25">
      <c r="A1" s="10" t="s">
        <v>17</v>
      </c>
    </row>
    <row r="2" spans="1:4" s="45" customFormat="1" x14ac:dyDescent="0.25">
      <c r="A2" s="45" t="s">
        <v>102</v>
      </c>
    </row>
    <row r="3" spans="1:4" s="45" customFormat="1" x14ac:dyDescent="0.25">
      <c r="B3" s="45" t="s">
        <v>212</v>
      </c>
    </row>
    <row r="4" spans="1:4" s="45" customFormat="1" x14ac:dyDescent="0.25">
      <c r="B4" s="45" t="s">
        <v>208</v>
      </c>
      <c r="C4" s="45" t="s">
        <v>210</v>
      </c>
    </row>
    <row r="5" spans="1:4" s="45" customFormat="1" x14ac:dyDescent="0.25">
      <c r="B5" s="45" t="s">
        <v>115</v>
      </c>
      <c r="C5" s="45" t="s">
        <v>211</v>
      </c>
    </row>
    <row r="6" spans="1:4" s="45" customFormat="1" x14ac:dyDescent="0.25">
      <c r="B6" s="45" t="s">
        <v>209</v>
      </c>
    </row>
    <row r="7" spans="1:4" s="45" customFormat="1" x14ac:dyDescent="0.25">
      <c r="B7" s="45" t="s">
        <v>213</v>
      </c>
    </row>
    <row r="8" spans="1:4" s="45" customFormat="1" x14ac:dyDescent="0.25">
      <c r="B8" s="45" t="s">
        <v>422</v>
      </c>
    </row>
    <row r="9" spans="1:4" s="45" customFormat="1" x14ac:dyDescent="0.25">
      <c r="B9" s="45" t="s">
        <v>124</v>
      </c>
    </row>
    <row r="10" spans="1:4" s="45" customFormat="1" x14ac:dyDescent="0.25">
      <c r="B10" s="45" t="s">
        <v>423</v>
      </c>
    </row>
    <row r="11" spans="1:4" s="45" customFormat="1" x14ac:dyDescent="0.25">
      <c r="B11" s="45" t="s">
        <v>117</v>
      </c>
    </row>
    <row r="12" spans="1:4" s="45" customFormat="1" x14ac:dyDescent="0.25">
      <c r="B12" s="45" t="s">
        <v>116</v>
      </c>
    </row>
    <row r="13" spans="1:4" s="45" customFormat="1" x14ac:dyDescent="0.25"/>
    <row r="14" spans="1:4" x14ac:dyDescent="0.25">
      <c r="A14" t="s">
        <v>42</v>
      </c>
    </row>
    <row r="15" spans="1:4" x14ac:dyDescent="0.25">
      <c r="A15" t="s">
        <v>50</v>
      </c>
      <c r="D15" s="6">
        <v>0.5</v>
      </c>
    </row>
    <row r="16" spans="1:4" x14ac:dyDescent="0.25">
      <c r="A16" t="s">
        <v>52</v>
      </c>
      <c r="D16" s="6">
        <v>3.8</v>
      </c>
    </row>
    <row r="17" spans="1:5" x14ac:dyDescent="0.25">
      <c r="A17" t="s">
        <v>53</v>
      </c>
      <c r="D17" s="6">
        <v>1.58</v>
      </c>
    </row>
    <row r="18" spans="1:5" x14ac:dyDescent="0.25">
      <c r="A18" t="s">
        <v>54</v>
      </c>
      <c r="D18" s="6">
        <v>8</v>
      </c>
    </row>
    <row r="19" spans="1:5" x14ac:dyDescent="0.25">
      <c r="A19" t="s">
        <v>51</v>
      </c>
      <c r="E19" s="6">
        <v>-2.6</v>
      </c>
    </row>
    <row r="21" spans="1:5" x14ac:dyDescent="0.25">
      <c r="A21" t="s">
        <v>18</v>
      </c>
      <c r="B21" s="2" t="s">
        <v>19</v>
      </c>
      <c r="C21" s="2">
        <f>E19/D15</f>
        <v>-5.2</v>
      </c>
    </row>
    <row r="22" spans="1:5" x14ac:dyDescent="0.25">
      <c r="B22" s="2" t="s">
        <v>22</v>
      </c>
      <c r="C22" s="29">
        <f>D18/D17/D15</f>
        <v>10.126582278481012</v>
      </c>
    </row>
    <row r="23" spans="1:5" x14ac:dyDescent="0.25">
      <c r="B23" s="2" t="s">
        <v>20</v>
      </c>
      <c r="C23" s="29">
        <f>D16/D17/D15</f>
        <v>4.8101265822784809</v>
      </c>
    </row>
    <row r="24" spans="1:5" x14ac:dyDescent="0.25">
      <c r="B24" s="2" t="s">
        <v>55</v>
      </c>
      <c r="C24" s="6">
        <f>D16/D18</f>
        <v>0.47499999999999998</v>
      </c>
      <c r="D24" s="20" t="s">
        <v>56</v>
      </c>
    </row>
  </sheetData>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J19" sqref="J19"/>
    </sheetView>
  </sheetViews>
  <sheetFormatPr baseColWidth="10" defaultRowHeight="15" x14ac:dyDescent="0.25"/>
  <sheetData>
    <row r="1" spans="1:6" s="10" customFormat="1" x14ac:dyDescent="0.25">
      <c r="A1" s="10" t="s">
        <v>41</v>
      </c>
    </row>
    <row r="2" spans="1:6" s="45" customFormat="1" x14ac:dyDescent="0.25">
      <c r="A2" s="45" t="s">
        <v>102</v>
      </c>
    </row>
    <row r="3" spans="1:6" s="45" customFormat="1" x14ac:dyDescent="0.25">
      <c r="B3" s="45" t="s">
        <v>111</v>
      </c>
    </row>
    <row r="4" spans="1:6" s="45" customFormat="1" x14ac:dyDescent="0.25">
      <c r="B4" s="45" t="s">
        <v>110</v>
      </c>
    </row>
    <row r="5" spans="1:6" s="45" customFormat="1" x14ac:dyDescent="0.25">
      <c r="B5" s="45" t="s">
        <v>112</v>
      </c>
    </row>
    <row r="6" spans="1:6" s="45" customFormat="1" x14ac:dyDescent="0.25">
      <c r="B6" s="45" t="s">
        <v>113</v>
      </c>
    </row>
    <row r="7" spans="1:6" s="45" customFormat="1" x14ac:dyDescent="0.25">
      <c r="B7" s="45" t="s">
        <v>114</v>
      </c>
    </row>
    <row r="8" spans="1:6" s="45" customFormat="1" x14ac:dyDescent="0.25">
      <c r="B8" s="45" t="s">
        <v>123</v>
      </c>
    </row>
    <row r="9" spans="1:6" s="45" customFormat="1" x14ac:dyDescent="0.25">
      <c r="B9" s="45" t="s">
        <v>424</v>
      </c>
    </row>
    <row r="10" spans="1:6" s="45" customFormat="1" x14ac:dyDescent="0.25">
      <c r="B10" s="45" t="s">
        <v>250</v>
      </c>
    </row>
    <row r="11" spans="1:6" s="45" customFormat="1" x14ac:dyDescent="0.25">
      <c r="B11" s="45" t="s">
        <v>109</v>
      </c>
    </row>
    <row r="12" spans="1:6" s="45" customFormat="1" x14ac:dyDescent="0.25"/>
    <row r="13" spans="1:6" x14ac:dyDescent="0.25">
      <c r="A13" t="s">
        <v>43</v>
      </c>
    </row>
    <row r="14" spans="1:6" x14ac:dyDescent="0.25">
      <c r="A14" t="s">
        <v>48</v>
      </c>
    </row>
    <row r="15" spans="1:6" x14ac:dyDescent="0.25">
      <c r="A15" t="s">
        <v>60</v>
      </c>
    </row>
    <row r="16" spans="1:6" s="10" customFormat="1" x14ac:dyDescent="0.25">
      <c r="A16" s="10" t="s">
        <v>23</v>
      </c>
      <c r="B16" s="27">
        <v>1</v>
      </c>
      <c r="C16" s="27">
        <v>3</v>
      </c>
      <c r="D16" s="27" t="s">
        <v>45</v>
      </c>
      <c r="E16" s="27" t="s">
        <v>46</v>
      </c>
      <c r="F16" s="28" t="s">
        <v>47</v>
      </c>
    </row>
    <row r="17" spans="1:6" x14ac:dyDescent="0.25">
      <c r="A17" t="s">
        <v>24</v>
      </c>
      <c r="B17" s="24">
        <v>13</v>
      </c>
      <c r="C17" s="24">
        <v>56</v>
      </c>
      <c r="D17" s="24">
        <v>112</v>
      </c>
      <c r="E17" s="24">
        <v>139</v>
      </c>
      <c r="F17" s="25">
        <v>197</v>
      </c>
    </row>
    <row r="18" spans="1:6" x14ac:dyDescent="0.25">
      <c r="A18" t="s">
        <v>25</v>
      </c>
      <c r="B18" s="24">
        <v>1</v>
      </c>
      <c r="C18" s="24">
        <v>1</v>
      </c>
      <c r="D18" s="24">
        <v>1</v>
      </c>
      <c r="E18" s="24">
        <v>1</v>
      </c>
      <c r="F18" s="25">
        <v>1</v>
      </c>
    </row>
    <row r="19" spans="1:6" x14ac:dyDescent="0.25">
      <c r="A19" t="s">
        <v>26</v>
      </c>
      <c r="B19" s="24">
        <v>3.1</v>
      </c>
      <c r="C19" s="24">
        <v>4.07</v>
      </c>
      <c r="D19" s="24">
        <v>4.07</v>
      </c>
      <c r="E19" s="24">
        <v>4.07</v>
      </c>
      <c r="F19" s="25">
        <v>3.1</v>
      </c>
    </row>
    <row r="20" spans="1:6" x14ac:dyDescent="0.25">
      <c r="A20" t="s">
        <v>31</v>
      </c>
      <c r="B20" s="24">
        <v>17</v>
      </c>
      <c r="C20" s="24">
        <v>17</v>
      </c>
      <c r="D20" s="24">
        <v>17</v>
      </c>
      <c r="E20" s="24">
        <v>71</v>
      </c>
      <c r="F20" s="25">
        <v>71</v>
      </c>
    </row>
    <row r="21" spans="1:6" x14ac:dyDescent="0.25">
      <c r="A21" t="s">
        <v>27</v>
      </c>
      <c r="B21" s="24">
        <v>2.63</v>
      </c>
      <c r="C21" s="24">
        <v>2.63</v>
      </c>
      <c r="D21" s="24">
        <v>2.63</v>
      </c>
      <c r="E21" s="24">
        <v>2.33</v>
      </c>
      <c r="F21" s="25">
        <v>2.83</v>
      </c>
    </row>
    <row r="22" spans="1:6" x14ac:dyDescent="0.25">
      <c r="A22" t="s">
        <v>28</v>
      </c>
      <c r="B22" s="24">
        <v>1170</v>
      </c>
      <c r="C22" s="24">
        <v>1560</v>
      </c>
      <c r="D22" s="24">
        <v>2190</v>
      </c>
      <c r="E22" s="24">
        <v>1900</v>
      </c>
      <c r="F22" s="25">
        <v>1900</v>
      </c>
    </row>
    <row r="23" spans="1:6" x14ac:dyDescent="0.25">
      <c r="A23" t="s">
        <v>29</v>
      </c>
      <c r="B23" s="24">
        <v>25</v>
      </c>
      <c r="C23" s="24">
        <v>25</v>
      </c>
      <c r="D23" s="24">
        <v>25</v>
      </c>
      <c r="E23" s="24">
        <v>25</v>
      </c>
      <c r="F23" s="25">
        <v>30</v>
      </c>
    </row>
    <row r="24" spans="1:6" x14ac:dyDescent="0.25">
      <c r="A24" t="s">
        <v>30</v>
      </c>
      <c r="B24" s="24">
        <v>15.78</v>
      </c>
      <c r="C24" s="24">
        <v>15.84</v>
      </c>
      <c r="D24" s="24">
        <v>15.79</v>
      </c>
      <c r="E24" s="24">
        <v>15.86</v>
      </c>
      <c r="F24" s="25">
        <v>13.17</v>
      </c>
    </row>
    <row r="25" spans="1:6" x14ac:dyDescent="0.25">
      <c r="A25" t="s">
        <v>32</v>
      </c>
      <c r="B25" s="24">
        <v>3</v>
      </c>
      <c r="C25" s="24">
        <v>3.52</v>
      </c>
      <c r="D25" s="24">
        <v>3.58</v>
      </c>
      <c r="E25" s="24">
        <v>3.53</v>
      </c>
      <c r="F25" s="25">
        <v>3.06</v>
      </c>
    </row>
    <row r="26" spans="1:6" x14ac:dyDescent="0.25">
      <c r="A26" t="s">
        <v>33</v>
      </c>
      <c r="B26" s="24">
        <v>9.36</v>
      </c>
      <c r="C26" s="24">
        <v>8.8000000000000007</v>
      </c>
      <c r="D26" s="24">
        <v>7.88</v>
      </c>
      <c r="E26" s="24">
        <v>8.01</v>
      </c>
      <c r="F26" s="25">
        <v>10.33</v>
      </c>
    </row>
    <row r="27" spans="1:6" x14ac:dyDescent="0.25">
      <c r="A27" t="s">
        <v>34</v>
      </c>
      <c r="B27" s="24">
        <v>0.311</v>
      </c>
      <c r="C27" s="24">
        <v>0.317</v>
      </c>
      <c r="D27" s="24">
        <v>0.32700000000000001</v>
      </c>
      <c r="E27" s="24">
        <v>0.40899999999999997</v>
      </c>
      <c r="F27" s="25">
        <v>0.34399999999999997</v>
      </c>
    </row>
    <row r="28" spans="1:6" x14ac:dyDescent="0.25">
      <c r="A28" t="s">
        <v>35</v>
      </c>
      <c r="B28" s="24">
        <v>11.97</v>
      </c>
      <c r="C28" s="24">
        <v>12.26</v>
      </c>
      <c r="D28" s="24">
        <v>12.3</v>
      </c>
      <c r="E28" s="24">
        <v>12.26</v>
      </c>
      <c r="F28" s="25">
        <v>14.25</v>
      </c>
    </row>
    <row r="29" spans="1:6" x14ac:dyDescent="0.25">
      <c r="A29" t="s">
        <v>36</v>
      </c>
      <c r="B29" s="24">
        <v>25.73</v>
      </c>
      <c r="C29" s="24">
        <v>29.23</v>
      </c>
      <c r="D29" s="24">
        <v>36.03</v>
      </c>
      <c r="E29" s="24">
        <v>31.39</v>
      </c>
      <c r="F29" s="25">
        <v>32.06</v>
      </c>
    </row>
    <row r="30" spans="1:6" x14ac:dyDescent="0.25">
      <c r="A30" t="s">
        <v>37</v>
      </c>
      <c r="B30" s="24">
        <v>16.98</v>
      </c>
      <c r="C30" s="24">
        <v>18.010000000000002</v>
      </c>
      <c r="D30" s="24">
        <v>19.78</v>
      </c>
      <c r="E30" s="24">
        <v>24.32</v>
      </c>
      <c r="F30" s="25">
        <v>25.51</v>
      </c>
    </row>
    <row r="31" spans="1:6" x14ac:dyDescent="0.25">
      <c r="A31" t="s">
        <v>38</v>
      </c>
      <c r="B31" s="24">
        <v>213.03</v>
      </c>
      <c r="C31" s="24">
        <v>332.96</v>
      </c>
      <c r="D31" s="24">
        <v>656.82</v>
      </c>
      <c r="E31" s="24">
        <v>258.36</v>
      </c>
      <c r="F31" s="26">
        <v>191.29</v>
      </c>
    </row>
    <row r="33" spans="1:7" x14ac:dyDescent="0.25">
      <c r="A33" t="s">
        <v>44</v>
      </c>
      <c r="B33" s="6">
        <f>B24/B23</f>
        <v>0.63119999999999998</v>
      </c>
      <c r="C33" s="6">
        <f>C24/C23</f>
        <v>0.63359999999999994</v>
      </c>
      <c r="D33" s="6">
        <f>D24/D23</f>
        <v>0.63159999999999994</v>
      </c>
      <c r="E33" s="6">
        <f>E24/E23</f>
        <v>0.63439999999999996</v>
      </c>
      <c r="F33" s="31">
        <f>F24/F23</f>
        <v>0.439</v>
      </c>
      <c r="G33" s="32" t="s">
        <v>69</v>
      </c>
    </row>
    <row r="34" spans="1:7" x14ac:dyDescent="0.25">
      <c r="A34" t="s">
        <v>39</v>
      </c>
      <c r="B34" s="2">
        <f>B30-B23</f>
        <v>-8.02</v>
      </c>
      <c r="C34" s="2">
        <f>C30-C23</f>
        <v>-6.9899999999999984</v>
      </c>
      <c r="D34" s="2">
        <f>D30-D23</f>
        <v>-5.2199999999999989</v>
      </c>
      <c r="E34" s="2">
        <f>E30-E23</f>
        <v>-0.67999999999999972</v>
      </c>
      <c r="F34" s="2">
        <f>F30-F23</f>
        <v>-4.4899999999999984</v>
      </c>
    </row>
    <row r="35" spans="1:7" s="36" customFormat="1" x14ac:dyDescent="0.25">
      <c r="A35" s="36" t="s">
        <v>96</v>
      </c>
      <c r="B35" s="6">
        <f>B34/B23</f>
        <v>-0.32079999999999997</v>
      </c>
      <c r="C35" s="6">
        <f>C34/C23</f>
        <v>-0.27959999999999996</v>
      </c>
      <c r="D35" s="6">
        <f>D34/D23</f>
        <v>-0.20879999999999996</v>
      </c>
      <c r="E35" s="6">
        <f>E34/E23</f>
        <v>-2.7199999999999988E-2</v>
      </c>
      <c r="F35" s="6">
        <f>F34/F23</f>
        <v>-0.14966666666666661</v>
      </c>
    </row>
    <row r="36" spans="1:7" x14ac:dyDescent="0.25">
      <c r="A36" t="s">
        <v>40</v>
      </c>
      <c r="B36" s="6">
        <f>POWER(B20/B21, 0.333333)</f>
        <v>1.8627909562886444</v>
      </c>
      <c r="C36" s="6">
        <f>POWER(C20/C21, 0.333333)</f>
        <v>1.8627909562886444</v>
      </c>
      <c r="D36" s="6">
        <f>POWER(D20/D21, 0.333333)</f>
        <v>1.8627909562886444</v>
      </c>
      <c r="E36" s="6">
        <f>POWER(E20/E21, 0.333333)</f>
        <v>3.1234434534983229</v>
      </c>
      <c r="F36" s="6">
        <f>POWER(F20/F21, 0.333333)</f>
        <v>2.9274546177723098</v>
      </c>
    </row>
    <row r="37" spans="1:7" x14ac:dyDescent="0.25">
      <c r="A37" t="s">
        <v>13</v>
      </c>
      <c r="B37" s="6">
        <f>B34/B36</f>
        <v>-4.3053676919168371</v>
      </c>
      <c r="C37" s="6">
        <f>C34/C36</f>
        <v>-3.7524339359724053</v>
      </c>
      <c r="D37" s="6">
        <f>D34/D36</f>
        <v>-2.8022468019708091</v>
      </c>
      <c r="E37" s="6">
        <f>E34/E36</f>
        <v>-0.21770843945914414</v>
      </c>
      <c r="F37" s="6">
        <f>F34/F36</f>
        <v>-1.5337556294610404</v>
      </c>
    </row>
    <row r="38" spans="1:7" x14ac:dyDescent="0.25">
      <c r="A38" t="s">
        <v>12</v>
      </c>
      <c r="B38" s="6">
        <f>B23/(B21-1)/B36</f>
        <v>8.2335719212643959</v>
      </c>
      <c r="C38" s="6">
        <f>C23/(C21-1)/C36</f>
        <v>8.2335719212643959</v>
      </c>
      <c r="D38" s="6">
        <f>D23/(D21-1)/D36</f>
        <v>8.2335719212643959</v>
      </c>
      <c r="E38" s="6">
        <f>E23/(E21-1)/E36</f>
        <v>6.0180351464823145</v>
      </c>
      <c r="F38" s="6">
        <f>F23/(F21-1)/F36</f>
        <v>5.5998964163023146</v>
      </c>
    </row>
    <row r="39" spans="1:7" x14ac:dyDescent="0.25">
      <c r="A39" t="s">
        <v>49</v>
      </c>
      <c r="B39" s="6">
        <f>B24/(B21-1)/B36</f>
        <v>5.1970305967020867</v>
      </c>
      <c r="C39" s="6">
        <f>C24/(C21-1)/C36</f>
        <v>5.2167911693131215</v>
      </c>
      <c r="D39" s="6">
        <f>D24/(D21-1)/D36</f>
        <v>5.200324025470592</v>
      </c>
      <c r="E39" s="6">
        <f>E24/(E21-1)/E36</f>
        <v>3.8178414969283803</v>
      </c>
      <c r="F39" s="6">
        <f>F24/(F21-1)/F36</f>
        <v>2.458354526756716</v>
      </c>
    </row>
  </sheetData>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5"/>
  <sheetViews>
    <sheetView topLeftCell="A19" workbookViewId="0">
      <selection activeCell="O29" sqref="O29"/>
    </sheetView>
  </sheetViews>
  <sheetFormatPr baseColWidth="10" defaultRowHeight="15" x14ac:dyDescent="0.25"/>
  <cols>
    <col min="1" max="5" width="8.7109375" customWidth="1"/>
    <col min="6" max="14" width="7.7109375" customWidth="1"/>
  </cols>
  <sheetData>
    <row r="1" spans="1:9" s="10" customFormat="1" x14ac:dyDescent="0.25">
      <c r="A1" s="10" t="s">
        <v>90</v>
      </c>
    </row>
    <row r="2" spans="1:9" s="45" customFormat="1" x14ac:dyDescent="0.25">
      <c r="A2" s="45" t="s">
        <v>102</v>
      </c>
    </row>
    <row r="3" spans="1:9" s="45" customFormat="1" x14ac:dyDescent="0.25">
      <c r="B3" s="45" t="s">
        <v>101</v>
      </c>
    </row>
    <row r="4" spans="1:9" s="45" customFormat="1" x14ac:dyDescent="0.25">
      <c r="B4" s="45" t="s">
        <v>104</v>
      </c>
    </row>
    <row r="5" spans="1:9" s="45" customFormat="1" x14ac:dyDescent="0.25">
      <c r="B5" s="45" t="s">
        <v>103</v>
      </c>
    </row>
    <row r="6" spans="1:9" s="45" customFormat="1" x14ac:dyDescent="0.25">
      <c r="B6" s="45" t="s">
        <v>105</v>
      </c>
    </row>
    <row r="7" spans="1:9" s="45" customFormat="1" x14ac:dyDescent="0.25">
      <c r="B7" s="45" t="s">
        <v>107</v>
      </c>
    </row>
    <row r="8" spans="1:9" s="45" customFormat="1" x14ac:dyDescent="0.25">
      <c r="B8" s="45" t="s">
        <v>125</v>
      </c>
    </row>
    <row r="9" spans="1:9" s="45" customFormat="1" x14ac:dyDescent="0.25">
      <c r="B9" s="45" t="s">
        <v>425</v>
      </c>
    </row>
    <row r="10" spans="1:9" s="45" customFormat="1" x14ac:dyDescent="0.25">
      <c r="B10" s="45" t="s">
        <v>106</v>
      </c>
    </row>
    <row r="11" spans="1:9" s="45" customFormat="1" x14ac:dyDescent="0.25">
      <c r="B11" s="45" t="s">
        <v>108</v>
      </c>
    </row>
    <row r="12" spans="1:9" s="10" customFormat="1" x14ac:dyDescent="0.25"/>
    <row r="13" spans="1:9" s="45" customFormat="1" x14ac:dyDescent="0.25">
      <c r="A13" s="45" t="s">
        <v>91</v>
      </c>
    </row>
    <row r="14" spans="1:9" x14ac:dyDescent="0.25">
      <c r="A14" t="s">
        <v>85</v>
      </c>
    </row>
    <row r="15" spans="1:9" s="36" customFormat="1" x14ac:dyDescent="0.25">
      <c r="A15" s="36" t="s">
        <v>72</v>
      </c>
      <c r="C15" s="36" t="s">
        <v>86</v>
      </c>
    </row>
    <row r="16" spans="1:9" s="36" customFormat="1" x14ac:dyDescent="0.25">
      <c r="C16" s="201" t="s">
        <v>87</v>
      </c>
      <c r="D16" s="41"/>
      <c r="E16" s="1" t="s">
        <v>497</v>
      </c>
      <c r="F16" s="36" t="s">
        <v>498</v>
      </c>
      <c r="I16" s="1"/>
    </row>
    <row r="17" spans="1:16" s="36" customFormat="1" x14ac:dyDescent="0.25">
      <c r="C17" s="36" t="s">
        <v>88</v>
      </c>
    </row>
    <row r="18" spans="1:16" s="36" customFormat="1" x14ac:dyDescent="0.25">
      <c r="C18" s="36" t="s">
        <v>89</v>
      </c>
      <c r="G18" s="12" t="s">
        <v>14</v>
      </c>
      <c r="H18" s="13">
        <v>-1.6</v>
      </c>
    </row>
    <row r="19" spans="1:16" s="36" customFormat="1" x14ac:dyDescent="0.25">
      <c r="G19" s="14" t="s">
        <v>15</v>
      </c>
      <c r="H19" s="15">
        <v>3.45</v>
      </c>
    </row>
    <row r="20" spans="1:16" s="36" customFormat="1" x14ac:dyDescent="0.25">
      <c r="F20" s="43"/>
      <c r="G20" s="16" t="s">
        <v>13</v>
      </c>
      <c r="H20" s="17" t="s">
        <v>12</v>
      </c>
    </row>
    <row r="21" spans="1:16" x14ac:dyDescent="0.25">
      <c r="A21" t="s">
        <v>92</v>
      </c>
      <c r="G21" s="16">
        <f>H21*$H$18+$H$19</f>
        <v>3.45</v>
      </c>
      <c r="H21" s="17">
        <v>0</v>
      </c>
    </row>
    <row r="22" spans="1:16" x14ac:dyDescent="0.25">
      <c r="A22" t="s">
        <v>95</v>
      </c>
      <c r="G22" s="18">
        <f>H22*$H$18+$H$19</f>
        <v>-2.95</v>
      </c>
      <c r="H22" s="19">
        <v>4</v>
      </c>
    </row>
    <row r="23" spans="1:16" x14ac:dyDescent="0.25">
      <c r="A23" t="s">
        <v>72</v>
      </c>
      <c r="C23" s="20" t="s">
        <v>486</v>
      </c>
    </row>
    <row r="24" spans="1:16" x14ac:dyDescent="0.25">
      <c r="C24" s="20" t="s">
        <v>487</v>
      </c>
    </row>
    <row r="25" spans="1:16" s="36" customFormat="1" x14ac:dyDescent="0.25">
      <c r="A25" s="36" t="s">
        <v>488</v>
      </c>
      <c r="C25" s="20" t="s">
        <v>489</v>
      </c>
    </row>
    <row r="26" spans="1:16" x14ac:dyDescent="0.25">
      <c r="C26" s="20" t="s">
        <v>490</v>
      </c>
      <c r="F26" t="s">
        <v>501</v>
      </c>
      <c r="I26" s="197" t="s">
        <v>499</v>
      </c>
      <c r="J26" s="20" t="s">
        <v>500</v>
      </c>
    </row>
    <row r="27" spans="1:16" x14ac:dyDescent="0.25">
      <c r="A27" t="s">
        <v>492</v>
      </c>
      <c r="C27" s="20" t="s">
        <v>491</v>
      </c>
      <c r="D27" s="36"/>
      <c r="E27" s="36"/>
      <c r="F27" s="36"/>
      <c r="G27" s="36"/>
      <c r="H27" s="3"/>
      <c r="I27" s="3"/>
      <c r="J27" s="36"/>
      <c r="K27" s="36"/>
      <c r="L27" s="36"/>
      <c r="M27" s="3"/>
      <c r="N27" s="36"/>
      <c r="O27" s="3"/>
      <c r="P27" s="36"/>
    </row>
    <row r="28" spans="1:16" x14ac:dyDescent="0.25">
      <c r="C28" s="20" t="s">
        <v>493</v>
      </c>
      <c r="D28" s="36"/>
      <c r="E28" s="36"/>
      <c r="G28" s="36" t="s">
        <v>507</v>
      </c>
      <c r="H28" s="3"/>
      <c r="I28" s="3" t="s">
        <v>499</v>
      </c>
      <c r="J28" s="20" t="s">
        <v>508</v>
      </c>
      <c r="K28" s="36"/>
      <c r="L28" s="36"/>
      <c r="M28" s="3"/>
      <c r="N28" s="36"/>
      <c r="O28" s="3"/>
      <c r="P28" s="36"/>
    </row>
    <row r="29" spans="1:16" x14ac:dyDescent="0.25">
      <c r="C29" s="20" t="s">
        <v>494</v>
      </c>
      <c r="D29" s="36"/>
      <c r="E29" s="36"/>
      <c r="F29" s="36"/>
      <c r="G29" s="36"/>
      <c r="H29" s="3"/>
      <c r="I29" s="3"/>
      <c r="J29" s="36"/>
      <c r="K29" s="36"/>
      <c r="L29" s="36"/>
      <c r="M29" s="3"/>
      <c r="N29" s="36"/>
      <c r="O29" s="3"/>
      <c r="P29" s="36"/>
    </row>
    <row r="30" spans="1:16" x14ac:dyDescent="0.25">
      <c r="C30" s="36"/>
      <c r="D30" s="36"/>
      <c r="E30" s="36"/>
      <c r="F30" s="36"/>
      <c r="G30" s="36"/>
      <c r="H30" s="3"/>
      <c r="I30" s="3"/>
      <c r="J30" s="36"/>
      <c r="K30" s="36"/>
      <c r="L30" s="36"/>
      <c r="M30" s="3"/>
      <c r="N30" s="36"/>
      <c r="O30" s="3"/>
      <c r="P30" s="36"/>
    </row>
    <row r="31" spans="1:16" x14ac:dyDescent="0.25">
      <c r="C31" s="36"/>
      <c r="D31" s="36"/>
      <c r="E31" s="36"/>
      <c r="F31" s="36"/>
      <c r="G31" s="36"/>
      <c r="H31" s="3"/>
      <c r="I31" s="3"/>
      <c r="J31" s="36"/>
      <c r="K31" s="36"/>
      <c r="L31" s="36"/>
      <c r="M31" s="3"/>
      <c r="N31" s="36"/>
      <c r="O31" s="3"/>
      <c r="P31" s="36"/>
    </row>
    <row r="32" spans="1:16" x14ac:dyDescent="0.25">
      <c r="C32" s="36"/>
      <c r="D32" s="36"/>
      <c r="E32" s="36"/>
      <c r="F32" s="36"/>
      <c r="G32" s="36"/>
      <c r="H32" s="3"/>
      <c r="I32" s="3"/>
      <c r="J32" s="36"/>
      <c r="K32" s="36"/>
      <c r="L32" s="36"/>
      <c r="M32" s="3"/>
      <c r="N32" s="36"/>
      <c r="O32" s="3"/>
      <c r="P32" s="36"/>
    </row>
    <row r="33" spans="1:16" x14ac:dyDescent="0.25">
      <c r="C33" s="36"/>
      <c r="D33" s="36"/>
      <c r="E33" s="36"/>
      <c r="F33" s="36"/>
      <c r="G33" s="36"/>
      <c r="H33" s="3"/>
      <c r="I33" s="3"/>
      <c r="J33" s="36"/>
      <c r="K33" s="36"/>
      <c r="L33" s="36"/>
      <c r="M33" s="3"/>
      <c r="N33" s="36"/>
      <c r="O33" s="3"/>
      <c r="P33" s="36"/>
    </row>
    <row r="34" spans="1:16" ht="17.25" x14ac:dyDescent="0.25">
      <c r="A34" s="2" t="s">
        <v>240</v>
      </c>
      <c r="B34" s="2" t="s">
        <v>249</v>
      </c>
      <c r="C34" s="36"/>
      <c r="D34" s="36"/>
      <c r="E34" s="36"/>
      <c r="F34" s="36"/>
      <c r="G34" s="36"/>
      <c r="H34" s="3"/>
      <c r="I34" s="3"/>
      <c r="J34" s="36"/>
      <c r="K34" s="36"/>
      <c r="L34" s="36"/>
      <c r="M34" s="3"/>
      <c r="N34" s="36"/>
      <c r="O34" s="3"/>
      <c r="P34" s="36"/>
    </row>
    <row r="35" spans="1:16" x14ac:dyDescent="0.25">
      <c r="A35" s="3"/>
      <c r="B35" s="2" t="s">
        <v>225</v>
      </c>
      <c r="C35" s="36"/>
      <c r="D35" s="36"/>
      <c r="E35" s="36"/>
      <c r="I35" s="3"/>
      <c r="J35" s="36"/>
      <c r="K35" s="36"/>
      <c r="L35" s="36"/>
      <c r="M35" s="3"/>
      <c r="N35" s="36"/>
      <c r="O35" s="3"/>
      <c r="P35" s="36"/>
    </row>
    <row r="36" spans="1:16" x14ac:dyDescent="0.25">
      <c r="A36" s="3" t="s">
        <v>13</v>
      </c>
      <c r="B36" s="3" t="s">
        <v>3</v>
      </c>
      <c r="C36" s="3" t="s">
        <v>241</v>
      </c>
      <c r="D36" s="36"/>
      <c r="E36" s="36"/>
      <c r="I36" s="3"/>
      <c r="J36" s="36"/>
      <c r="K36" s="36"/>
      <c r="L36" s="36"/>
      <c r="M36" s="3"/>
      <c r="N36" s="36"/>
      <c r="O36" s="3"/>
      <c r="P36" s="36"/>
    </row>
    <row r="37" spans="1:16" x14ac:dyDescent="0.25">
      <c r="A37" s="3">
        <v>2</v>
      </c>
      <c r="B37" s="4">
        <f t="shared" ref="B37:B62" si="0">0.06*A37*A37-0.23*A37+1.36</f>
        <v>1.1400000000000001</v>
      </c>
      <c r="C37" s="4">
        <f>B37/0.6</f>
        <v>1.9000000000000004</v>
      </c>
      <c r="D37" s="36"/>
      <c r="E37" s="36"/>
      <c r="I37" s="3"/>
      <c r="J37" s="36"/>
      <c r="K37" s="36"/>
      <c r="L37" s="36"/>
      <c r="M37" s="3"/>
      <c r="N37" s="36"/>
      <c r="O37" s="3"/>
      <c r="P37" s="36"/>
    </row>
    <row r="38" spans="1:16" x14ac:dyDescent="0.25">
      <c r="A38" s="3">
        <v>1.8</v>
      </c>
      <c r="B38" s="4">
        <f t="shared" si="0"/>
        <v>1.1404000000000001</v>
      </c>
      <c r="C38" s="4">
        <f t="shared" ref="C38:C62" si="1">B38/0.6</f>
        <v>1.9006666666666669</v>
      </c>
      <c r="D38" s="36"/>
      <c r="E38" s="36"/>
      <c r="I38" s="3"/>
      <c r="J38" s="36"/>
      <c r="K38" s="36"/>
      <c r="L38" s="36"/>
      <c r="M38" s="3"/>
      <c r="N38" s="36"/>
      <c r="O38" s="3"/>
      <c r="P38" s="36"/>
    </row>
    <row r="39" spans="1:16" x14ac:dyDescent="0.25">
      <c r="A39" s="3">
        <v>1.6</v>
      </c>
      <c r="B39" s="4">
        <f t="shared" si="0"/>
        <v>1.1456</v>
      </c>
      <c r="C39" s="4">
        <f t="shared" si="1"/>
        <v>1.9093333333333333</v>
      </c>
      <c r="D39" s="36"/>
      <c r="E39" s="212" t="s">
        <v>242</v>
      </c>
      <c r="F39" s="212"/>
      <c r="G39" s="212"/>
      <c r="I39" s="3"/>
      <c r="J39" s="36"/>
      <c r="K39" s="36"/>
      <c r="L39" s="36"/>
      <c r="M39" s="3"/>
      <c r="N39" s="36"/>
      <c r="O39" s="3"/>
      <c r="P39" s="36"/>
    </row>
    <row r="40" spans="1:16" x14ac:dyDescent="0.25">
      <c r="A40" s="3">
        <v>1.4</v>
      </c>
      <c r="B40" s="4">
        <f t="shared" si="0"/>
        <v>1.1556000000000002</v>
      </c>
      <c r="C40" s="4">
        <f t="shared" si="1"/>
        <v>1.9260000000000004</v>
      </c>
      <c r="D40" s="36"/>
      <c r="E40" s="3" t="s">
        <v>13</v>
      </c>
      <c r="F40" s="3" t="s">
        <v>3</v>
      </c>
      <c r="G40" s="3" t="s">
        <v>241</v>
      </c>
      <c r="I40" s="3"/>
      <c r="J40" s="36"/>
      <c r="K40" s="36"/>
      <c r="L40" s="36"/>
      <c r="M40" s="3"/>
      <c r="N40" s="36"/>
      <c r="O40" s="3"/>
      <c r="P40" s="36"/>
    </row>
    <row r="41" spans="1:16" x14ac:dyDescent="0.25">
      <c r="A41" s="3">
        <v>1.2</v>
      </c>
      <c r="B41" s="4">
        <f t="shared" si="0"/>
        <v>1.1704000000000001</v>
      </c>
      <c r="C41" s="4">
        <f t="shared" si="1"/>
        <v>1.950666666666667</v>
      </c>
      <c r="D41" s="36"/>
      <c r="E41" s="3">
        <v>-3</v>
      </c>
      <c r="F41" s="3">
        <f t="shared" ref="F41:F55" si="2">0.06*E41*E41-0.23*E41+1.36</f>
        <v>2.59</v>
      </c>
      <c r="G41" s="4">
        <f t="shared" ref="G41:G55" si="3">F41/0.6</f>
        <v>4.3166666666666664</v>
      </c>
      <c r="I41" s="3"/>
      <c r="J41" s="36"/>
      <c r="K41" s="36"/>
      <c r="L41" s="36"/>
      <c r="M41" s="3"/>
      <c r="N41" s="36"/>
      <c r="O41" s="3"/>
      <c r="P41" s="36"/>
    </row>
    <row r="42" spans="1:16" x14ac:dyDescent="0.25">
      <c r="A42" s="3">
        <v>1</v>
      </c>
      <c r="B42" s="4">
        <f t="shared" si="0"/>
        <v>1.1900000000000002</v>
      </c>
      <c r="C42" s="4">
        <f t="shared" si="1"/>
        <v>1.9833333333333336</v>
      </c>
      <c r="D42" s="36"/>
      <c r="E42" s="3">
        <v>-3.5</v>
      </c>
      <c r="F42" s="3">
        <f t="shared" si="2"/>
        <v>2.9000000000000004</v>
      </c>
      <c r="G42" s="4">
        <f t="shared" si="3"/>
        <v>4.8333333333333339</v>
      </c>
      <c r="I42" s="3"/>
      <c r="J42" s="36"/>
      <c r="K42" s="36"/>
      <c r="L42" s="36"/>
      <c r="M42" s="3"/>
      <c r="N42" s="36"/>
      <c r="O42" s="3"/>
      <c r="P42" s="36"/>
    </row>
    <row r="43" spans="1:16" x14ac:dyDescent="0.25">
      <c r="A43" s="3">
        <v>0.8</v>
      </c>
      <c r="B43" s="4">
        <f t="shared" si="0"/>
        <v>1.2144000000000001</v>
      </c>
      <c r="C43" s="4">
        <f t="shared" si="1"/>
        <v>2.0240000000000005</v>
      </c>
      <c r="D43" s="36"/>
      <c r="E43" s="3">
        <v>-4</v>
      </c>
      <c r="F43" s="3">
        <f t="shared" si="2"/>
        <v>3.24</v>
      </c>
      <c r="G43" s="4">
        <f t="shared" si="3"/>
        <v>5.4</v>
      </c>
      <c r="I43" s="3"/>
      <c r="J43" s="36"/>
      <c r="K43" s="36"/>
      <c r="L43" s="36"/>
      <c r="M43" s="3"/>
      <c r="N43" s="36"/>
      <c r="O43" s="3"/>
      <c r="P43" s="36"/>
    </row>
    <row r="44" spans="1:16" x14ac:dyDescent="0.25">
      <c r="A44" s="3">
        <v>0.6</v>
      </c>
      <c r="B44" s="4">
        <f t="shared" si="0"/>
        <v>1.2436</v>
      </c>
      <c r="C44" s="4">
        <f t="shared" si="1"/>
        <v>2.0726666666666667</v>
      </c>
      <c r="D44" s="36"/>
      <c r="E44" s="3">
        <v>-4.5</v>
      </c>
      <c r="F44" s="3">
        <f t="shared" si="2"/>
        <v>3.6100000000000003</v>
      </c>
      <c r="G44" s="4">
        <f t="shared" si="3"/>
        <v>6.0166666666666675</v>
      </c>
      <c r="I44" s="3"/>
      <c r="J44" s="36"/>
      <c r="K44" s="36"/>
      <c r="L44" s="36"/>
      <c r="M44" s="3"/>
      <c r="N44" s="36"/>
      <c r="O44" s="3"/>
      <c r="P44" s="36"/>
    </row>
    <row r="45" spans="1:16" x14ac:dyDescent="0.25">
      <c r="A45" s="3">
        <v>0.4</v>
      </c>
      <c r="B45" s="4">
        <f t="shared" si="0"/>
        <v>1.2776000000000001</v>
      </c>
      <c r="C45" s="4">
        <f t="shared" si="1"/>
        <v>2.1293333333333337</v>
      </c>
      <c r="D45" s="36"/>
      <c r="E45" s="3">
        <v>-5</v>
      </c>
      <c r="F45" s="3">
        <f t="shared" si="2"/>
        <v>4.0100000000000007</v>
      </c>
      <c r="G45" s="4">
        <f t="shared" si="3"/>
        <v>6.6833333333333345</v>
      </c>
      <c r="I45" s="3"/>
      <c r="J45" s="36"/>
      <c r="K45" s="36"/>
      <c r="L45" s="36"/>
      <c r="M45" s="3"/>
      <c r="N45" s="36"/>
      <c r="O45" s="3"/>
      <c r="P45" s="36"/>
    </row>
    <row r="46" spans="1:16" x14ac:dyDescent="0.25">
      <c r="A46" s="3">
        <v>0.2</v>
      </c>
      <c r="B46" s="4">
        <f t="shared" si="0"/>
        <v>1.3164</v>
      </c>
      <c r="C46" s="4">
        <f t="shared" si="1"/>
        <v>2.194</v>
      </c>
      <c r="D46" s="36"/>
      <c r="E46" s="3">
        <v>-5.5</v>
      </c>
      <c r="F46" s="3">
        <f t="shared" si="2"/>
        <v>4.4400000000000004</v>
      </c>
      <c r="G46" s="4">
        <f t="shared" si="3"/>
        <v>7.4000000000000012</v>
      </c>
      <c r="I46" s="3"/>
      <c r="J46" s="36"/>
      <c r="K46" s="36"/>
      <c r="L46" s="36"/>
      <c r="M46" s="3"/>
      <c r="N46" s="36"/>
      <c r="O46" s="3"/>
      <c r="P46" s="36"/>
    </row>
    <row r="47" spans="1:16" x14ac:dyDescent="0.25">
      <c r="A47" s="3">
        <v>0</v>
      </c>
      <c r="B47" s="4">
        <f t="shared" si="0"/>
        <v>1.36</v>
      </c>
      <c r="C47" s="4">
        <f t="shared" si="1"/>
        <v>2.2666666666666671</v>
      </c>
      <c r="D47" s="36"/>
      <c r="E47" s="3">
        <v>-6</v>
      </c>
      <c r="F47" s="3">
        <f t="shared" si="2"/>
        <v>4.9000000000000004</v>
      </c>
      <c r="G47" s="4">
        <f t="shared" si="3"/>
        <v>8.1666666666666679</v>
      </c>
      <c r="I47" s="3"/>
      <c r="J47" s="36"/>
      <c r="K47" s="36"/>
      <c r="L47" s="36"/>
      <c r="M47" s="3"/>
      <c r="N47" s="36"/>
      <c r="O47" s="3"/>
      <c r="P47" s="36"/>
    </row>
    <row r="48" spans="1:16" x14ac:dyDescent="0.25">
      <c r="A48" s="3">
        <v>-0.2</v>
      </c>
      <c r="B48" s="4">
        <f t="shared" si="0"/>
        <v>1.4084000000000001</v>
      </c>
      <c r="C48" s="4">
        <f t="shared" si="1"/>
        <v>2.3473333333333337</v>
      </c>
      <c r="D48" s="36"/>
      <c r="E48" s="3">
        <v>-6.5</v>
      </c>
      <c r="F48" s="3">
        <f t="shared" si="2"/>
        <v>5.3900000000000006</v>
      </c>
      <c r="G48" s="4">
        <f t="shared" si="3"/>
        <v>8.9833333333333343</v>
      </c>
      <c r="I48" s="3"/>
      <c r="J48" s="36"/>
      <c r="K48" s="36"/>
      <c r="L48" s="36"/>
      <c r="M48" s="3"/>
      <c r="N48" s="36"/>
      <c r="O48" s="3"/>
      <c r="P48" s="36"/>
    </row>
    <row r="49" spans="1:16" x14ac:dyDescent="0.25">
      <c r="A49" s="3">
        <v>-0.4</v>
      </c>
      <c r="B49" s="4">
        <f t="shared" si="0"/>
        <v>1.4616</v>
      </c>
      <c r="C49" s="4">
        <f t="shared" si="1"/>
        <v>2.4359999999999999</v>
      </c>
      <c r="D49" s="36"/>
      <c r="E49" s="3">
        <v>-7</v>
      </c>
      <c r="F49" s="3">
        <f t="shared" si="2"/>
        <v>5.91</v>
      </c>
      <c r="G49" s="4">
        <f t="shared" si="3"/>
        <v>9.8500000000000014</v>
      </c>
      <c r="I49" s="3"/>
      <c r="J49" s="36"/>
      <c r="K49" s="36"/>
      <c r="L49" s="36"/>
      <c r="M49" s="3"/>
      <c r="N49" s="36"/>
      <c r="O49" s="3"/>
      <c r="P49" s="36"/>
    </row>
    <row r="50" spans="1:16" x14ac:dyDescent="0.25">
      <c r="A50" s="3">
        <v>-0.6</v>
      </c>
      <c r="B50" s="4">
        <f t="shared" si="0"/>
        <v>1.5196000000000001</v>
      </c>
      <c r="C50" s="4">
        <f t="shared" si="1"/>
        <v>2.5326666666666671</v>
      </c>
      <c r="D50" s="36"/>
      <c r="E50" s="3">
        <v>-7.5</v>
      </c>
      <c r="F50" s="3">
        <f t="shared" si="2"/>
        <v>6.46</v>
      </c>
      <c r="G50" s="4">
        <f t="shared" si="3"/>
        <v>10.766666666666667</v>
      </c>
      <c r="I50" s="3"/>
      <c r="J50" s="36"/>
      <c r="K50" s="36"/>
      <c r="L50" s="36"/>
      <c r="M50" s="3"/>
      <c r="N50" s="36"/>
      <c r="O50" s="3"/>
      <c r="P50" s="36"/>
    </row>
    <row r="51" spans="1:16" x14ac:dyDescent="0.25">
      <c r="A51" s="3">
        <v>-0.8</v>
      </c>
      <c r="B51" s="4">
        <f t="shared" si="0"/>
        <v>1.5824000000000003</v>
      </c>
      <c r="C51" s="4">
        <f t="shared" si="1"/>
        <v>2.6373333333333338</v>
      </c>
      <c r="D51" s="36"/>
      <c r="E51" s="3">
        <v>-8</v>
      </c>
      <c r="F51" s="3">
        <f t="shared" si="2"/>
        <v>7.04</v>
      </c>
      <c r="G51" s="4">
        <f t="shared" si="3"/>
        <v>11.733333333333334</v>
      </c>
      <c r="I51" s="3"/>
      <c r="J51" s="36"/>
      <c r="K51" s="36"/>
      <c r="L51" s="36"/>
      <c r="M51" s="3"/>
      <c r="N51" s="36"/>
      <c r="O51" s="3"/>
      <c r="P51" s="36"/>
    </row>
    <row r="52" spans="1:16" x14ac:dyDescent="0.25">
      <c r="A52" s="3">
        <v>-1</v>
      </c>
      <c r="B52" s="4">
        <f t="shared" si="0"/>
        <v>1.6500000000000001</v>
      </c>
      <c r="C52" s="4">
        <f t="shared" si="1"/>
        <v>2.7500000000000004</v>
      </c>
      <c r="D52" s="36"/>
      <c r="E52" s="3">
        <v>-8.5</v>
      </c>
      <c r="F52" s="3">
        <f t="shared" si="2"/>
        <v>7.65</v>
      </c>
      <c r="G52" s="4">
        <f t="shared" si="3"/>
        <v>12.750000000000002</v>
      </c>
      <c r="I52" s="3"/>
      <c r="J52" s="36"/>
      <c r="K52" s="36"/>
      <c r="L52" s="36"/>
      <c r="M52" s="3"/>
      <c r="N52" s="36"/>
      <c r="O52" s="3"/>
      <c r="P52" s="36"/>
    </row>
    <row r="53" spans="1:16" x14ac:dyDescent="0.25">
      <c r="A53" s="3">
        <v>-1.2</v>
      </c>
      <c r="B53" s="4">
        <f t="shared" si="0"/>
        <v>1.7224000000000002</v>
      </c>
      <c r="C53" s="4">
        <f t="shared" si="1"/>
        <v>2.8706666666666671</v>
      </c>
      <c r="D53" s="36"/>
      <c r="E53" s="3">
        <v>-9</v>
      </c>
      <c r="F53" s="3">
        <f t="shared" si="2"/>
        <v>8.2900000000000009</v>
      </c>
      <c r="G53" s="4">
        <f t="shared" si="3"/>
        <v>13.816666666666668</v>
      </c>
      <c r="I53" s="3"/>
      <c r="J53" s="36"/>
      <c r="K53" s="36"/>
      <c r="L53" s="36"/>
      <c r="M53" s="3"/>
      <c r="N53" s="36"/>
      <c r="O53" s="3"/>
      <c r="P53" s="36"/>
    </row>
    <row r="54" spans="1:16" x14ac:dyDescent="0.25">
      <c r="A54" s="3">
        <v>-1.4</v>
      </c>
      <c r="B54" s="4">
        <f t="shared" si="0"/>
        <v>1.7996000000000001</v>
      </c>
      <c r="C54" s="4">
        <f t="shared" si="1"/>
        <v>2.9993333333333334</v>
      </c>
      <c r="D54" s="36"/>
      <c r="E54" s="3">
        <v>-9.5</v>
      </c>
      <c r="F54" s="3">
        <f t="shared" si="2"/>
        <v>8.9599999999999991</v>
      </c>
      <c r="G54" s="4">
        <f t="shared" si="3"/>
        <v>14.933333333333332</v>
      </c>
      <c r="I54" s="3"/>
      <c r="J54" s="36"/>
      <c r="K54" s="36"/>
      <c r="L54" s="36"/>
      <c r="M54" s="3"/>
      <c r="N54" s="36"/>
      <c r="O54" s="3"/>
      <c r="P54" s="36"/>
    </row>
    <row r="55" spans="1:16" x14ac:dyDescent="0.25">
      <c r="A55" s="3">
        <v>-1.6</v>
      </c>
      <c r="B55" s="4">
        <f t="shared" si="0"/>
        <v>1.8816000000000002</v>
      </c>
      <c r="C55" s="4">
        <f t="shared" si="1"/>
        <v>3.1360000000000006</v>
      </c>
      <c r="D55" s="36"/>
      <c r="E55" s="3">
        <v>-10</v>
      </c>
      <c r="F55" s="3">
        <f t="shared" si="2"/>
        <v>9.66</v>
      </c>
      <c r="G55" s="4">
        <f t="shared" si="3"/>
        <v>16.100000000000001</v>
      </c>
      <c r="I55" s="3"/>
      <c r="J55" s="36"/>
      <c r="K55" s="36"/>
      <c r="L55" s="36"/>
      <c r="M55" s="3"/>
      <c r="N55" s="36"/>
      <c r="O55" s="3"/>
      <c r="P55" s="36"/>
    </row>
    <row r="56" spans="1:16" x14ac:dyDescent="0.25">
      <c r="A56" s="3">
        <v>-1.8</v>
      </c>
      <c r="B56" s="4">
        <f t="shared" si="0"/>
        <v>1.9684000000000001</v>
      </c>
      <c r="C56" s="4">
        <f t="shared" si="1"/>
        <v>3.2806666666666668</v>
      </c>
      <c r="D56" s="36"/>
      <c r="E56" s="36"/>
      <c r="F56" s="3"/>
      <c r="G56" s="3"/>
      <c r="H56" s="3"/>
      <c r="I56" s="3"/>
      <c r="J56" s="36"/>
      <c r="K56" s="36"/>
      <c r="L56" s="36"/>
      <c r="M56" s="3"/>
      <c r="N56" s="36"/>
      <c r="O56" s="3"/>
      <c r="P56" s="36"/>
    </row>
    <row r="57" spans="1:16" x14ac:dyDescent="0.25">
      <c r="A57" s="3">
        <v>-2</v>
      </c>
      <c r="B57" s="4">
        <f t="shared" si="0"/>
        <v>2.06</v>
      </c>
      <c r="C57" s="4">
        <f t="shared" si="1"/>
        <v>3.4333333333333336</v>
      </c>
      <c r="D57" s="36"/>
      <c r="E57" s="36"/>
      <c r="F57" s="3"/>
      <c r="G57" s="3"/>
      <c r="H57" s="3"/>
      <c r="I57" s="3"/>
      <c r="J57" s="36"/>
      <c r="K57" s="36"/>
      <c r="L57" s="36"/>
      <c r="M57" s="3"/>
      <c r="N57" s="36"/>
      <c r="O57" s="3"/>
      <c r="P57" s="36"/>
    </row>
    <row r="58" spans="1:16" x14ac:dyDescent="0.25">
      <c r="A58" s="3">
        <v>-2.2000000000000002</v>
      </c>
      <c r="B58" s="4">
        <f t="shared" si="0"/>
        <v>2.1564000000000005</v>
      </c>
      <c r="C58" s="4">
        <f t="shared" si="1"/>
        <v>3.5940000000000012</v>
      </c>
      <c r="D58" s="36"/>
      <c r="E58" s="36"/>
      <c r="F58" s="3"/>
      <c r="G58" s="3"/>
      <c r="H58" s="3"/>
      <c r="I58" s="3"/>
      <c r="J58" s="36"/>
      <c r="K58" s="36"/>
      <c r="L58" s="36"/>
      <c r="M58" s="3"/>
      <c r="N58" s="36"/>
      <c r="O58" s="3"/>
      <c r="P58" s="36"/>
    </row>
    <row r="59" spans="1:16" x14ac:dyDescent="0.25">
      <c r="A59" s="3">
        <v>-2.4</v>
      </c>
      <c r="B59" s="4">
        <f t="shared" si="0"/>
        <v>2.2576000000000001</v>
      </c>
      <c r="C59" s="4">
        <f t="shared" si="1"/>
        <v>3.762666666666667</v>
      </c>
      <c r="D59" s="36"/>
      <c r="E59" s="36"/>
      <c r="F59" s="3"/>
      <c r="G59" s="3"/>
      <c r="H59" s="3"/>
      <c r="I59" s="3"/>
      <c r="J59" s="36"/>
      <c r="K59" s="36"/>
      <c r="L59" s="36"/>
      <c r="M59" s="3"/>
      <c r="N59" s="36"/>
      <c r="O59" s="3"/>
      <c r="P59" s="36"/>
    </row>
    <row r="60" spans="1:16" s="36" customFormat="1" x14ac:dyDescent="0.25">
      <c r="A60" s="3">
        <v>-2.6</v>
      </c>
      <c r="B60" s="4">
        <f t="shared" si="0"/>
        <v>2.3635999999999999</v>
      </c>
      <c r="C60" s="4">
        <f t="shared" si="1"/>
        <v>3.9393333333333334</v>
      </c>
      <c r="F60" s="3"/>
      <c r="G60" s="3"/>
      <c r="H60" s="3"/>
      <c r="I60" s="3"/>
      <c r="M60" s="3"/>
      <c r="O60" s="3"/>
    </row>
    <row r="61" spans="1:16" s="36" customFormat="1" x14ac:dyDescent="0.25">
      <c r="A61" s="3">
        <v>-2.8</v>
      </c>
      <c r="B61" s="4">
        <f t="shared" si="0"/>
        <v>2.4744000000000002</v>
      </c>
      <c r="C61" s="4">
        <f t="shared" si="1"/>
        <v>4.1240000000000006</v>
      </c>
      <c r="F61" s="3"/>
      <c r="G61" s="3"/>
      <c r="H61" s="3"/>
      <c r="I61" s="3"/>
      <c r="M61" s="3"/>
      <c r="O61" s="3"/>
    </row>
    <row r="62" spans="1:16" s="36" customFormat="1" x14ac:dyDescent="0.25">
      <c r="A62" s="3">
        <v>-3</v>
      </c>
      <c r="B62" s="4">
        <f t="shared" si="0"/>
        <v>2.59</v>
      </c>
      <c r="C62" s="4">
        <f t="shared" si="1"/>
        <v>4.3166666666666664</v>
      </c>
      <c r="F62" s="3"/>
      <c r="G62" s="3"/>
      <c r="H62" s="3"/>
      <c r="I62" s="3"/>
      <c r="M62" s="3"/>
      <c r="O62" s="3"/>
    </row>
    <row r="63" spans="1:16" s="36" customFormat="1" x14ac:dyDescent="0.25">
      <c r="A63" s="3"/>
      <c r="B63" s="3"/>
      <c r="H63" s="3"/>
      <c r="I63" s="3"/>
      <c r="M63" s="3"/>
      <c r="O63" s="3"/>
    </row>
    <row r="64" spans="1:16" s="36" customFormat="1" x14ac:dyDescent="0.25">
      <c r="A64" s="3"/>
      <c r="B64" s="3"/>
      <c r="H64" s="3"/>
      <c r="I64" s="3"/>
      <c r="M64" s="3"/>
      <c r="O64" s="3"/>
    </row>
    <row r="65" spans="1:16" s="36" customFormat="1" x14ac:dyDescent="0.25">
      <c r="A65" s="3"/>
      <c r="B65" s="3"/>
      <c r="H65" s="3"/>
      <c r="I65" s="3"/>
      <c r="M65" s="3"/>
      <c r="O65" s="3"/>
    </row>
    <row r="66" spans="1:16" s="36" customFormat="1" x14ac:dyDescent="0.25">
      <c r="A66" s="3"/>
      <c r="B66" s="3"/>
      <c r="H66" s="3"/>
      <c r="I66" s="3"/>
      <c r="M66" s="3"/>
      <c r="O66" s="3"/>
    </row>
    <row r="67" spans="1:16" x14ac:dyDescent="0.25">
      <c r="A67" s="2" t="s">
        <v>239</v>
      </c>
      <c r="B67" s="3"/>
      <c r="C67" s="36"/>
      <c r="D67" s="36"/>
      <c r="E67" s="36"/>
      <c r="F67" s="36"/>
      <c r="G67" s="36"/>
      <c r="H67" s="3"/>
      <c r="I67" s="3"/>
      <c r="J67" s="36"/>
      <c r="K67" s="36"/>
      <c r="L67" s="36"/>
      <c r="M67" s="3"/>
      <c r="N67" s="36"/>
      <c r="O67" s="3"/>
      <c r="P67" s="36"/>
    </row>
    <row r="68" spans="1:16" ht="17.25" x14ac:dyDescent="0.25">
      <c r="A68" s="2" t="s">
        <v>238</v>
      </c>
      <c r="B68" s="3"/>
      <c r="C68" s="36"/>
      <c r="D68" s="36"/>
      <c r="E68" s="36"/>
      <c r="F68" s="36"/>
      <c r="G68" s="36"/>
      <c r="H68" s="3"/>
      <c r="I68" s="3"/>
      <c r="J68" s="36"/>
      <c r="K68" s="36"/>
      <c r="L68" s="36"/>
      <c r="M68" s="3"/>
      <c r="N68" s="36"/>
      <c r="O68" s="3"/>
      <c r="P68" s="36"/>
    </row>
    <row r="69" spans="1:16" ht="17.25" x14ac:dyDescent="0.25">
      <c r="A69" s="2" t="s">
        <v>237</v>
      </c>
      <c r="B69" s="3"/>
      <c r="C69" s="36"/>
      <c r="D69" s="36"/>
      <c r="E69" s="36"/>
      <c r="F69" s="36"/>
      <c r="G69" s="36"/>
      <c r="H69" s="3"/>
      <c r="I69" s="3"/>
      <c r="J69" s="36"/>
      <c r="K69" s="36"/>
      <c r="L69" s="36"/>
      <c r="M69" s="3"/>
      <c r="N69" s="36"/>
      <c r="O69" s="3"/>
      <c r="P69" s="36"/>
    </row>
    <row r="70" spans="1:16" ht="17.25" x14ac:dyDescent="0.25">
      <c r="A70" s="2" t="s">
        <v>236</v>
      </c>
      <c r="B70" s="3"/>
      <c r="C70" s="36"/>
      <c r="D70" s="36"/>
      <c r="E70" s="36"/>
      <c r="F70" s="36"/>
      <c r="G70" s="36"/>
      <c r="H70" s="3"/>
      <c r="I70" s="3"/>
      <c r="J70" s="36"/>
      <c r="K70" s="36"/>
      <c r="L70" s="36"/>
      <c r="M70" s="3"/>
      <c r="N70" s="36"/>
      <c r="O70" s="3"/>
      <c r="P70" s="36"/>
    </row>
    <row r="71" spans="1:16" x14ac:dyDescent="0.25">
      <c r="A71" s="2" t="s">
        <v>235</v>
      </c>
      <c r="B71" s="3"/>
      <c r="C71" s="36"/>
      <c r="D71" s="36"/>
      <c r="E71" s="36"/>
      <c r="F71" s="36"/>
      <c r="G71" s="36"/>
      <c r="H71" s="3"/>
      <c r="I71" s="3"/>
      <c r="J71" s="36"/>
      <c r="K71" s="36"/>
      <c r="L71" s="36"/>
      <c r="M71" s="3"/>
      <c r="N71" s="36"/>
      <c r="O71" s="3"/>
      <c r="P71" s="36"/>
    </row>
    <row r="72" spans="1:16" ht="17.25" x14ac:dyDescent="0.25">
      <c r="A72" s="2" t="s">
        <v>234</v>
      </c>
      <c r="B72" s="3"/>
      <c r="C72" s="36"/>
      <c r="D72" s="36"/>
      <c r="E72" s="36"/>
      <c r="F72" s="36"/>
      <c r="G72" s="36"/>
      <c r="H72" s="3"/>
      <c r="I72" s="3"/>
      <c r="J72" s="36"/>
      <c r="K72" s="36"/>
      <c r="L72" s="36"/>
      <c r="M72" s="3"/>
      <c r="N72" s="36"/>
      <c r="O72" s="3"/>
      <c r="P72" s="36"/>
    </row>
    <row r="73" spans="1:16" ht="15.75" thickBot="1" x14ac:dyDescent="0.3">
      <c r="A73" s="2"/>
      <c r="B73" s="3"/>
      <c r="C73" s="36"/>
      <c r="D73" s="36"/>
      <c r="E73" s="36"/>
      <c r="F73" s="36"/>
      <c r="G73" s="36"/>
      <c r="H73" s="3"/>
      <c r="I73" s="3"/>
      <c r="J73" s="36"/>
      <c r="K73" s="36"/>
      <c r="L73" s="36"/>
      <c r="M73" s="3"/>
      <c r="N73" s="36"/>
      <c r="O73" s="3"/>
      <c r="P73" s="36"/>
    </row>
    <row r="74" spans="1:16" ht="15.75" thickBot="1" x14ac:dyDescent="0.3">
      <c r="A74" s="88" t="s">
        <v>233</v>
      </c>
      <c r="B74" s="87">
        <v>2</v>
      </c>
      <c r="C74" s="3"/>
      <c r="D74" s="3"/>
      <c r="E74" s="3"/>
      <c r="F74" s="211" t="s">
        <v>232</v>
      </c>
      <c r="G74" s="211"/>
      <c r="H74" s="211"/>
      <c r="I74" s="211"/>
      <c r="J74" s="211" t="s">
        <v>231</v>
      </c>
      <c r="K74" s="211"/>
      <c r="L74" s="211"/>
      <c r="M74" s="211"/>
      <c r="N74" s="36"/>
      <c r="O74" s="3"/>
      <c r="P74" s="36"/>
    </row>
    <row r="75" spans="1:16" ht="17.25" x14ac:dyDescent="0.25">
      <c r="A75" s="3" t="s">
        <v>141</v>
      </c>
      <c r="B75" s="3" t="s">
        <v>230</v>
      </c>
      <c r="C75" s="3" t="s">
        <v>229</v>
      </c>
      <c r="D75" s="3" t="s">
        <v>228</v>
      </c>
      <c r="E75" s="3" t="s">
        <v>227</v>
      </c>
      <c r="F75" s="3" t="s">
        <v>8</v>
      </c>
      <c r="G75" s="3" t="s">
        <v>216</v>
      </c>
      <c r="H75" s="3" t="s">
        <v>13</v>
      </c>
      <c r="I75" s="3" t="s">
        <v>226</v>
      </c>
      <c r="J75" s="3" t="s">
        <v>8</v>
      </c>
      <c r="K75" s="3" t="s">
        <v>216</v>
      </c>
      <c r="L75" s="3" t="s">
        <v>13</v>
      </c>
      <c r="M75" s="3" t="s">
        <v>226</v>
      </c>
      <c r="N75" s="36"/>
      <c r="O75" s="3"/>
      <c r="P75" s="36"/>
    </row>
    <row r="76" spans="1:16" x14ac:dyDescent="0.25">
      <c r="A76" s="3">
        <v>0.2</v>
      </c>
      <c r="B76" s="4">
        <f t="shared" ref="B76:B84" si="4">0.06/A76/A76</f>
        <v>1.4999999999999998</v>
      </c>
      <c r="C76" s="4">
        <f t="shared" ref="C76:C84" si="5">0.145/A76</f>
        <v>0.72499999999999987</v>
      </c>
      <c r="D76" s="4">
        <f t="shared" ref="D76:D84" si="6">1.36-0.375*$B$74/A76</f>
        <v>-2.3899999999999997</v>
      </c>
      <c r="E76" s="4">
        <f t="shared" ref="E76:E84" si="7">C76*C76-4*B76*D76</f>
        <v>14.865624999999996</v>
      </c>
      <c r="F76" s="4"/>
      <c r="G76" s="4"/>
      <c r="H76" s="4"/>
      <c r="I76" s="3"/>
      <c r="J76" s="4"/>
      <c r="K76" s="4"/>
      <c r="L76" s="4"/>
      <c r="M76" s="3"/>
      <c r="N76" s="36"/>
      <c r="O76" s="3"/>
      <c r="P76" s="36"/>
    </row>
    <row r="77" spans="1:16" x14ac:dyDescent="0.25">
      <c r="A77" s="3">
        <v>0.3</v>
      </c>
      <c r="B77" s="4">
        <f t="shared" si="4"/>
        <v>0.66666666666666674</v>
      </c>
      <c r="C77" s="4">
        <f t="shared" si="5"/>
        <v>0.48333333333333334</v>
      </c>
      <c r="D77" s="4">
        <f t="shared" si="6"/>
        <v>-1.1399999999999999</v>
      </c>
      <c r="E77" s="4">
        <f t="shared" si="7"/>
        <v>3.2736111111111112</v>
      </c>
      <c r="F77" s="4"/>
      <c r="G77" s="4"/>
      <c r="H77" s="4"/>
      <c r="I77" s="3"/>
      <c r="J77" s="4"/>
      <c r="K77" s="4"/>
      <c r="L77" s="4"/>
      <c r="M77" s="3"/>
      <c r="N77" s="36"/>
      <c r="O77" s="3"/>
      <c r="P77" s="36"/>
    </row>
    <row r="78" spans="1:16" x14ac:dyDescent="0.25">
      <c r="A78" s="3">
        <v>0.4</v>
      </c>
      <c r="B78" s="4">
        <f t="shared" si="4"/>
        <v>0.37499999999999994</v>
      </c>
      <c r="C78" s="4">
        <f t="shared" si="5"/>
        <v>0.36249999999999993</v>
      </c>
      <c r="D78" s="4">
        <f t="shared" si="6"/>
        <v>-0.5149999999999999</v>
      </c>
      <c r="E78" s="4">
        <f t="shared" si="7"/>
        <v>0.90390624999999969</v>
      </c>
      <c r="F78" s="4">
        <f>(-C78+SQRT(E78))/2/B78</f>
        <v>0.78431979132042795</v>
      </c>
      <c r="G78" s="4">
        <f>F78/$B$74</f>
        <v>0.39215989566021398</v>
      </c>
      <c r="H78" s="4">
        <f>F78/A78</f>
        <v>1.9607994783010698</v>
      </c>
      <c r="I78" s="3">
        <f>0.06/A78/A78*F78*F78+0.145/A78*F78+1.36-0.375*$B$74/A78</f>
        <v>0</v>
      </c>
      <c r="J78" s="4"/>
      <c r="K78" s="4"/>
      <c r="L78" s="4"/>
      <c r="M78" s="3"/>
      <c r="N78" s="36"/>
      <c r="O78" s="3"/>
      <c r="P78" s="36"/>
    </row>
    <row r="79" spans="1:16" x14ac:dyDescent="0.25">
      <c r="A79" s="3">
        <v>0.5</v>
      </c>
      <c r="B79" s="4">
        <f t="shared" si="4"/>
        <v>0.24</v>
      </c>
      <c r="C79" s="4">
        <f t="shared" si="5"/>
        <v>0.28999999999999998</v>
      </c>
      <c r="D79" s="4">
        <f t="shared" si="6"/>
        <v>-0.1399999999999999</v>
      </c>
      <c r="E79" s="4">
        <f t="shared" si="7"/>
        <v>0.21849999999999992</v>
      </c>
      <c r="F79" s="4">
        <f>(-C79+SQRT(E79))/2/B79</f>
        <v>0.36966632437668684</v>
      </c>
      <c r="G79" s="4">
        <f>F79/$B$74</f>
        <v>0.18483316218834342</v>
      </c>
      <c r="H79" s="4">
        <f>F79/A79</f>
        <v>0.73933264875337368</v>
      </c>
      <c r="I79" s="3">
        <f>0.06/A79/A79*F79*F79+0.145/A79*F79+1.36-0.375*$B$74/A79</f>
        <v>0</v>
      </c>
      <c r="J79" s="4">
        <f>(-C79-SQRT(E79))/2/B79</f>
        <v>-1.5779996577100202</v>
      </c>
      <c r="K79" s="4">
        <f>J79/$B$74</f>
        <v>-0.78899982885501008</v>
      </c>
      <c r="L79" s="4">
        <f>J79/A79</f>
        <v>-3.1559993154200403</v>
      </c>
      <c r="M79" s="3">
        <f>0.06/A79/A79*J79*J79+0.145/A79*J79+1.36-0.375*$B$74/A79</f>
        <v>0</v>
      </c>
      <c r="N79" s="36"/>
      <c r="O79" s="3"/>
      <c r="P79" s="36"/>
    </row>
    <row r="80" spans="1:16" x14ac:dyDescent="0.25">
      <c r="A80" s="3">
        <v>0.55000000000000004</v>
      </c>
      <c r="B80" s="4">
        <f t="shared" si="4"/>
        <v>0.19834710743801648</v>
      </c>
      <c r="C80" s="4">
        <f t="shared" si="5"/>
        <v>0.26363636363636361</v>
      </c>
      <c r="D80" s="4">
        <f t="shared" si="6"/>
        <v>-3.6363636363634377E-3</v>
      </c>
      <c r="E80" s="4">
        <f t="shared" si="7"/>
        <v>7.2389181066866842E-2</v>
      </c>
      <c r="F80" s="4">
        <f>(-C80+SQRT(E80))/2/B80</f>
        <v>1.365286466687426E-2</v>
      </c>
      <c r="G80" s="4">
        <f>F80/$B$74</f>
        <v>6.8264323334371298E-3</v>
      </c>
      <c r="H80" s="4">
        <f>F80/A80</f>
        <v>2.4823390303407744E-2</v>
      </c>
      <c r="I80" s="3">
        <f>0.06/A80/A80*F80*F80+0.145/A80*F80+1.36-0.375*$B$74/A80</f>
        <v>0</v>
      </c>
      <c r="J80" s="4">
        <f>(-C80-SQRT(E80))/2/B80</f>
        <v>-1.3428195313335414</v>
      </c>
      <c r="K80" s="4">
        <f>J80/$B$74</f>
        <v>-0.67140976566677069</v>
      </c>
      <c r="L80" s="4">
        <f>J80/A80</f>
        <v>-2.4414900569700748</v>
      </c>
      <c r="M80" s="3">
        <f>0.06/A80/A80*J80*J80+0.145/A80*J80+1.36-0.375*$B$74/A80</f>
        <v>0</v>
      </c>
      <c r="N80" s="2" t="s">
        <v>225</v>
      </c>
      <c r="O80" s="3"/>
      <c r="P80" s="36"/>
    </row>
    <row r="81" spans="1:16" x14ac:dyDescent="0.25">
      <c r="A81" s="3">
        <v>0.56999999999999995</v>
      </c>
      <c r="B81" s="4">
        <f t="shared" si="4"/>
        <v>0.18467220683287169</v>
      </c>
      <c r="C81" s="4">
        <f t="shared" si="5"/>
        <v>0.25438596491228072</v>
      </c>
      <c r="D81" s="4">
        <f t="shared" si="6"/>
        <v>4.4210526315789478E-2</v>
      </c>
      <c r="E81" s="4">
        <f t="shared" si="7"/>
        <v>3.2054397304433747E-2</v>
      </c>
      <c r="F81" s="4">
        <f>(-C81+SQRT(E81))/2/B81</f>
        <v>-0.20400618879659746</v>
      </c>
      <c r="G81" s="4">
        <f>F81/$B$74</f>
        <v>-0.10200309439829873</v>
      </c>
      <c r="H81" s="4">
        <f>F81/A81</f>
        <v>-0.35790559437999558</v>
      </c>
      <c r="I81" s="3">
        <f>0.06/A81/A81*F81*F81+0.145/A81*F81+1.36-0.375*$B$74/A81</f>
        <v>0</v>
      </c>
      <c r="J81" s="4">
        <f>(-C81-SQRT(E81))/2/B81</f>
        <v>-1.1734938112034023</v>
      </c>
      <c r="K81" s="4">
        <f>J81/$B$74</f>
        <v>-0.58674690560170117</v>
      </c>
      <c r="L81" s="4">
        <f>J81/A81</f>
        <v>-2.0587610722866709</v>
      </c>
      <c r="M81" s="3">
        <f>0.06/A81/A81*J81*J81+0.145/A81*J81+1.36-0.375*$B$74/A81</f>
        <v>0</v>
      </c>
      <c r="N81" s="36"/>
      <c r="O81" s="3"/>
      <c r="P81" s="36"/>
    </row>
    <row r="82" spans="1:16" x14ac:dyDescent="0.25">
      <c r="A82" s="7">
        <v>0.57999999999999996</v>
      </c>
      <c r="B82" s="8">
        <f t="shared" si="4"/>
        <v>0.17835909631391203</v>
      </c>
      <c r="C82" s="8">
        <f t="shared" si="5"/>
        <v>0.25</v>
      </c>
      <c r="D82" s="8">
        <f t="shared" si="6"/>
        <v>6.6896551724137998E-2</v>
      </c>
      <c r="E82" s="8">
        <f t="shared" si="7"/>
        <v>1.4773565951863493E-2</v>
      </c>
      <c r="F82" s="8">
        <f>(-C82+SQRT(E82))/2/B82</f>
        <v>-0.36009781354644049</v>
      </c>
      <c r="G82" s="8">
        <f>F82/$B$74</f>
        <v>-0.18004890677322025</v>
      </c>
      <c r="H82" s="8">
        <f>F82/A82</f>
        <v>-0.62085829921800084</v>
      </c>
      <c r="I82" s="7">
        <f>0.06/A82/A82*F82*F82+0.145/A82*F82+1.36-0.375*$B$74/A82</f>
        <v>0</v>
      </c>
      <c r="J82" s="8">
        <f>(-C82-SQRT(E82))/2/B82</f>
        <v>-1.0415688531202261</v>
      </c>
      <c r="K82" s="8">
        <f>J82/$B$74</f>
        <v>-0.52078442656011303</v>
      </c>
      <c r="L82" s="8">
        <f>J82/A82</f>
        <v>-1.7958083674486658</v>
      </c>
      <c r="M82" s="7">
        <f>0.06/A82/A82*J82*J82+0.145/A82*J82+1.36-0.375*$B$74/A82</f>
        <v>0</v>
      </c>
      <c r="N82" s="36"/>
      <c r="O82" s="3"/>
      <c r="P82" s="36"/>
    </row>
    <row r="83" spans="1:16" x14ac:dyDescent="0.25">
      <c r="A83" s="3">
        <v>0.9</v>
      </c>
      <c r="B83" s="4">
        <f t="shared" si="4"/>
        <v>7.407407407407407E-2</v>
      </c>
      <c r="C83" s="4">
        <f t="shared" si="5"/>
        <v>0.16111111111111109</v>
      </c>
      <c r="D83" s="4">
        <f t="shared" si="6"/>
        <v>0.52666666666666684</v>
      </c>
      <c r="E83" s="4">
        <f t="shared" si="7"/>
        <v>-0.13009259259259265</v>
      </c>
      <c r="F83" s="4"/>
      <c r="G83" s="4"/>
      <c r="H83" s="4"/>
      <c r="I83" s="3"/>
      <c r="J83" s="4"/>
      <c r="K83" s="4"/>
      <c r="L83" s="4"/>
      <c r="M83" s="3"/>
      <c r="N83" s="36"/>
      <c r="O83" s="3"/>
      <c r="P83" s="36"/>
    </row>
    <row r="84" spans="1:16" x14ac:dyDescent="0.25">
      <c r="A84" s="3">
        <v>1</v>
      </c>
      <c r="B84" s="4">
        <f t="shared" si="4"/>
        <v>0.06</v>
      </c>
      <c r="C84" s="4">
        <f t="shared" si="5"/>
        <v>0.14499999999999999</v>
      </c>
      <c r="D84" s="4">
        <f t="shared" si="6"/>
        <v>0.6100000000000001</v>
      </c>
      <c r="E84" s="4">
        <f t="shared" si="7"/>
        <v>-0.12537500000000004</v>
      </c>
      <c r="F84" s="4"/>
      <c r="G84" s="4"/>
      <c r="H84" s="4"/>
      <c r="I84" s="3"/>
      <c r="J84" s="4"/>
      <c r="K84" s="4"/>
      <c r="L84" s="4"/>
      <c r="M84" s="3"/>
      <c r="N84" s="36"/>
      <c r="O84" s="3"/>
      <c r="P84" s="36"/>
    </row>
    <row r="85" spans="1:16" ht="15.75" thickBot="1" x14ac:dyDescent="0.3">
      <c r="A85" s="3"/>
      <c r="B85" s="3"/>
      <c r="C85" s="36"/>
      <c r="D85" s="36"/>
      <c r="E85" s="36"/>
      <c r="F85" s="36"/>
      <c r="G85" s="36"/>
      <c r="H85" s="3"/>
      <c r="I85" s="3"/>
      <c r="J85" s="36"/>
      <c r="K85" s="36"/>
      <c r="L85" s="36"/>
      <c r="M85" s="3"/>
      <c r="N85" s="36"/>
      <c r="O85" s="3"/>
      <c r="P85" s="36"/>
    </row>
    <row r="86" spans="1:16" ht="15.75" thickBot="1" x14ac:dyDescent="0.3">
      <c r="A86" s="88" t="s">
        <v>233</v>
      </c>
      <c r="B86" s="87">
        <v>3</v>
      </c>
      <c r="C86" s="3"/>
      <c r="D86" s="3"/>
      <c r="E86" s="3"/>
      <c r="F86" s="211" t="s">
        <v>232</v>
      </c>
      <c r="G86" s="211"/>
      <c r="H86" s="211"/>
      <c r="I86" s="211"/>
      <c r="J86" s="211" t="s">
        <v>231</v>
      </c>
      <c r="K86" s="211"/>
      <c r="L86" s="211"/>
      <c r="M86" s="211"/>
      <c r="N86" s="36"/>
      <c r="O86" s="3"/>
      <c r="P86" s="36"/>
    </row>
    <row r="87" spans="1:16" ht="17.25" x14ac:dyDescent="0.25">
      <c r="A87" s="3" t="s">
        <v>141</v>
      </c>
      <c r="B87" s="3" t="s">
        <v>230</v>
      </c>
      <c r="C87" s="3" t="s">
        <v>229</v>
      </c>
      <c r="D87" s="3" t="s">
        <v>228</v>
      </c>
      <c r="E87" s="3" t="s">
        <v>227</v>
      </c>
      <c r="F87" s="3" t="s">
        <v>8</v>
      </c>
      <c r="G87" s="3" t="s">
        <v>96</v>
      </c>
      <c r="H87" s="3" t="s">
        <v>13</v>
      </c>
      <c r="I87" s="3" t="s">
        <v>226</v>
      </c>
      <c r="J87" s="3" t="s">
        <v>8</v>
      </c>
      <c r="K87" s="3" t="s">
        <v>216</v>
      </c>
      <c r="L87" s="3" t="s">
        <v>13</v>
      </c>
      <c r="M87" s="3" t="s">
        <v>226</v>
      </c>
      <c r="N87" s="36"/>
      <c r="O87" s="3"/>
      <c r="P87" s="36"/>
    </row>
    <row r="88" spans="1:16" x14ac:dyDescent="0.25">
      <c r="A88" s="3">
        <v>0.3</v>
      </c>
      <c r="B88" s="4">
        <f t="shared" ref="B88:B97" si="8">0.06/A88/A88</f>
        <v>0.66666666666666674</v>
      </c>
      <c r="C88" s="4">
        <f t="shared" ref="C88:C97" si="9">0.145/A88</f>
        <v>0.48333333333333334</v>
      </c>
      <c r="D88" s="4">
        <f t="shared" ref="D88:D97" si="10">1.36-0.375*$B$86/A88</f>
        <v>-2.3899999999999997</v>
      </c>
      <c r="E88" s="4">
        <f t="shared" ref="E88:E97" si="11">C88*C88-4*B88*D88</f>
        <v>6.6069444444444443</v>
      </c>
      <c r="F88" s="4"/>
      <c r="G88" s="4"/>
      <c r="H88" s="4"/>
      <c r="I88" s="3"/>
      <c r="J88" s="4"/>
      <c r="K88" s="4"/>
      <c r="L88" s="4"/>
      <c r="M88" s="3"/>
      <c r="N88" s="36"/>
      <c r="O88" s="3"/>
      <c r="P88" s="36"/>
    </row>
    <row r="89" spans="1:16" x14ac:dyDescent="0.25">
      <c r="A89" s="3">
        <v>0.4</v>
      </c>
      <c r="B89" s="4">
        <f t="shared" si="8"/>
        <v>0.37499999999999994</v>
      </c>
      <c r="C89" s="4">
        <f t="shared" si="9"/>
        <v>0.36249999999999993</v>
      </c>
      <c r="D89" s="4">
        <f t="shared" si="10"/>
        <v>-1.4524999999999999</v>
      </c>
      <c r="E89" s="4">
        <f t="shared" si="11"/>
        <v>2.3101562499999995</v>
      </c>
      <c r="F89" s="4"/>
      <c r="G89" s="4"/>
      <c r="H89" s="4"/>
      <c r="I89" s="3"/>
      <c r="J89" s="4"/>
      <c r="K89" s="4"/>
      <c r="L89" s="4"/>
      <c r="M89" s="3"/>
      <c r="N89" s="36"/>
      <c r="O89" s="3"/>
      <c r="P89" s="36"/>
    </row>
    <row r="90" spans="1:16" x14ac:dyDescent="0.25">
      <c r="A90" s="3">
        <v>0.5</v>
      </c>
      <c r="B90" s="4">
        <f t="shared" si="8"/>
        <v>0.24</v>
      </c>
      <c r="C90" s="4">
        <f t="shared" si="9"/>
        <v>0.28999999999999998</v>
      </c>
      <c r="D90" s="4">
        <f t="shared" si="10"/>
        <v>-0.8899999999999999</v>
      </c>
      <c r="E90" s="4">
        <f t="shared" si="11"/>
        <v>0.93849999999999978</v>
      </c>
      <c r="F90" s="4"/>
      <c r="G90" s="4"/>
      <c r="H90" s="4"/>
      <c r="I90" s="3"/>
      <c r="J90" s="4"/>
      <c r="K90" s="4"/>
      <c r="L90" s="4"/>
      <c r="M90" s="3"/>
      <c r="N90" s="36"/>
      <c r="O90" s="3"/>
      <c r="P90" s="36"/>
    </row>
    <row r="91" spans="1:16" x14ac:dyDescent="0.25">
      <c r="A91" s="3">
        <v>0.6</v>
      </c>
      <c r="B91" s="4">
        <f t="shared" si="8"/>
        <v>0.16666666666666669</v>
      </c>
      <c r="C91" s="4">
        <f t="shared" si="9"/>
        <v>0.24166666666666667</v>
      </c>
      <c r="D91" s="4">
        <f t="shared" si="10"/>
        <v>-0.5149999999999999</v>
      </c>
      <c r="E91" s="4">
        <f t="shared" si="11"/>
        <v>0.40173611111111107</v>
      </c>
      <c r="F91" s="4">
        <f>(-C91+SQRT(E91))/2/B91</f>
        <v>1.1764796869806415</v>
      </c>
      <c r="G91" s="4">
        <f>F91/$B$86</f>
        <v>0.39215989566021386</v>
      </c>
      <c r="H91" s="4">
        <f>F91/A91</f>
        <v>1.9607994783010694</v>
      </c>
      <c r="I91" s="3">
        <f>0.06/A91/A91*F91*F91+0.145/A91*F91+1.36-0.375*$B$86/A91</f>
        <v>0</v>
      </c>
      <c r="J91" s="4"/>
      <c r="K91" s="4"/>
      <c r="L91" s="4"/>
      <c r="M91" s="3"/>
      <c r="N91" s="36"/>
      <c r="O91" s="3"/>
      <c r="P91" s="36"/>
    </row>
    <row r="92" spans="1:16" x14ac:dyDescent="0.25">
      <c r="A92" s="3">
        <v>0.7</v>
      </c>
      <c r="B92" s="4">
        <f t="shared" si="8"/>
        <v>0.12244897959183675</v>
      </c>
      <c r="C92" s="4">
        <f t="shared" si="9"/>
        <v>0.20714285714285713</v>
      </c>
      <c r="D92" s="4">
        <f t="shared" si="10"/>
        <v>-0.24714285714285711</v>
      </c>
      <c r="E92" s="4">
        <f t="shared" si="11"/>
        <v>0.16395772594752187</v>
      </c>
      <c r="F92" s="4">
        <f>(-C92+SQRT(E92))/2/B92</f>
        <v>0.8075774931435924</v>
      </c>
      <c r="G92" s="4">
        <f>F92/$B$86</f>
        <v>0.2691924977145308</v>
      </c>
      <c r="H92" s="4">
        <f>F92/A92</f>
        <v>1.1536821330622749</v>
      </c>
      <c r="I92" s="3">
        <f>0.06/A92/A92*F92*F92+0.145/A92*F92+1.36-0.375*$B$86/A92</f>
        <v>0</v>
      </c>
      <c r="J92" s="4">
        <f>(-C92-SQRT(E92))/2/B92</f>
        <v>-2.4992441598102588</v>
      </c>
      <c r="K92" s="4">
        <f>J92/$B$86</f>
        <v>-0.83308138660341957</v>
      </c>
      <c r="L92" s="4">
        <f>J92/A92</f>
        <v>-3.5703487997289414</v>
      </c>
      <c r="M92" s="3">
        <f>0.06/A92/A92*J92*J92+0.145/A92*J92+1.36-0.375*$B$86/A92</f>
        <v>0</v>
      </c>
      <c r="N92" s="36"/>
      <c r="O92" s="3"/>
      <c r="P92" s="36"/>
    </row>
    <row r="93" spans="1:16" x14ac:dyDescent="0.25">
      <c r="A93" s="3">
        <v>0.8</v>
      </c>
      <c r="B93" s="4">
        <f t="shared" si="8"/>
        <v>9.3749999999999986E-2</v>
      </c>
      <c r="C93" s="4">
        <f t="shared" si="9"/>
        <v>0.18124999999999997</v>
      </c>
      <c r="D93" s="4">
        <f t="shared" si="10"/>
        <v>-4.6249999999999902E-2</v>
      </c>
      <c r="E93" s="4">
        <f t="shared" si="11"/>
        <v>5.019531249999995E-2</v>
      </c>
      <c r="F93" s="4">
        <f>(-C93+SQRT(E93))/2/B93</f>
        <v>0.22822988859566104</v>
      </c>
      <c r="G93" s="4">
        <f>F93/$B$86</f>
        <v>7.6076629531887013E-2</v>
      </c>
      <c r="H93" s="4">
        <f>F93/A93</f>
        <v>0.28528736074457628</v>
      </c>
      <c r="I93" s="3">
        <f>0.06/A93/A93*F93*F93+0.145/A93*F93+1.36-0.375*$B$86/A93</f>
        <v>0</v>
      </c>
      <c r="J93" s="4">
        <f>(-C93-SQRT(E93))/2/B93</f>
        <v>-2.1615632219289944</v>
      </c>
      <c r="K93" s="4">
        <f>J93/$B$86</f>
        <v>-0.72052107397633147</v>
      </c>
      <c r="L93" s="4">
        <f>J93/A93</f>
        <v>-2.7019540274112428</v>
      </c>
      <c r="M93" s="3">
        <f>0.06/A93/A93*J93*J93+0.145/A93*J93+1.36-0.375*$B$86/A93</f>
        <v>0</v>
      </c>
      <c r="N93" s="2" t="s">
        <v>225</v>
      </c>
      <c r="O93" s="3"/>
      <c r="P93" s="36"/>
    </row>
    <row r="94" spans="1:16" x14ac:dyDescent="0.25">
      <c r="A94" s="3">
        <v>0.85</v>
      </c>
      <c r="B94" s="4">
        <f t="shared" si="8"/>
        <v>8.3044982698961933E-2</v>
      </c>
      <c r="C94" s="4">
        <f t="shared" si="9"/>
        <v>0.17058823529411765</v>
      </c>
      <c r="D94" s="4">
        <f t="shared" si="10"/>
        <v>3.6470588235294255E-2</v>
      </c>
      <c r="E94" s="4">
        <f t="shared" si="11"/>
        <v>1.6985548544677341E-2</v>
      </c>
      <c r="F94" s="4">
        <f>(-C94+SQRT(E94))/2/B94</f>
        <v>-0.2423964486815999</v>
      </c>
      <c r="G94" s="4">
        <f>F94/$B$86</f>
        <v>-8.0798816227199963E-2</v>
      </c>
      <c r="H94" s="4">
        <f>F94/A94</f>
        <v>-0.2851722925665881</v>
      </c>
      <c r="I94" s="3">
        <f>0.06/A94/A94*F94*F94+0.145/A94*F94+1.36-0.375*$B$86/A94</f>
        <v>0</v>
      </c>
      <c r="J94" s="4">
        <f>(-C94-SQRT(E94))/2/B94</f>
        <v>-1.8117702179850668</v>
      </c>
      <c r="K94" s="4">
        <f>J94/$B$86</f>
        <v>-0.60392340599502226</v>
      </c>
      <c r="L94" s="4">
        <f>J94/A94</f>
        <v>-2.1314943741000785</v>
      </c>
      <c r="M94" s="3">
        <f>0.06/A94/A94*J94*J94+0.145/A94*J94+1.36-0.375*$B$86/A94</f>
        <v>0</v>
      </c>
      <c r="N94" s="36"/>
      <c r="O94" s="3"/>
      <c r="P94" s="36"/>
    </row>
    <row r="95" spans="1:16" x14ac:dyDescent="0.25">
      <c r="A95" s="7">
        <v>0.88</v>
      </c>
      <c r="B95" s="8">
        <f t="shared" si="8"/>
        <v>7.7479338842975198E-2</v>
      </c>
      <c r="C95" s="8">
        <f t="shared" si="9"/>
        <v>0.16477272727272727</v>
      </c>
      <c r="D95" s="8">
        <f t="shared" si="10"/>
        <v>8.1590909090909269E-2</v>
      </c>
      <c r="E95" s="8">
        <f t="shared" si="11"/>
        <v>1.8636128850487814E-3</v>
      </c>
      <c r="F95" s="8">
        <f>(-C95+SQRT(E95))/2/B95</f>
        <v>-0.78474562522131186</v>
      </c>
      <c r="G95" s="8">
        <f>F95/$B$86</f>
        <v>-0.26158187507377062</v>
      </c>
      <c r="H95" s="8">
        <f>F95/A95</f>
        <v>-0.89175639229694526</v>
      </c>
      <c r="I95" s="7">
        <f>0.06/A95/A95*F95*F95+0.145/A95*F95+1.36-0.375*$B$86/A95</f>
        <v>0</v>
      </c>
      <c r="J95" s="8">
        <f>(-C95-SQRT(E95))/2/B95</f>
        <v>-1.3419210414453548</v>
      </c>
      <c r="K95" s="8">
        <f>J95/$B$86</f>
        <v>-0.44730701381511828</v>
      </c>
      <c r="L95" s="8">
        <f>J95/A95</f>
        <v>-1.5249102743697214</v>
      </c>
      <c r="M95" s="7">
        <f>0.06/A95/A95*J95*J95+0.145/A95*J95+1.36-0.375*$B$86/A95</f>
        <v>0</v>
      </c>
      <c r="N95" s="36"/>
      <c r="O95" s="3"/>
      <c r="P95" s="36"/>
    </row>
    <row r="96" spans="1:16" x14ac:dyDescent="0.25">
      <c r="A96" s="3">
        <v>1.1000000000000001</v>
      </c>
      <c r="B96" s="4">
        <f t="shared" si="8"/>
        <v>4.958677685950412E-2</v>
      </c>
      <c r="C96" s="4">
        <f t="shared" si="9"/>
        <v>0.13181818181818181</v>
      </c>
      <c r="D96" s="4">
        <f t="shared" si="10"/>
        <v>0.33727272727272739</v>
      </c>
      <c r="E96" s="4">
        <f t="shared" si="11"/>
        <v>-4.9521036814425254E-2</v>
      </c>
      <c r="F96" s="4"/>
      <c r="G96" s="4"/>
      <c r="H96" s="4"/>
      <c r="I96" s="3"/>
      <c r="J96" s="4"/>
      <c r="K96" s="4"/>
      <c r="L96" s="4"/>
      <c r="M96" s="3"/>
      <c r="N96" s="36"/>
      <c r="O96" s="3"/>
      <c r="P96" s="36"/>
    </row>
    <row r="97" spans="1:16" x14ac:dyDescent="0.25">
      <c r="A97" s="3">
        <v>1.2</v>
      </c>
      <c r="B97" s="4">
        <f t="shared" si="8"/>
        <v>4.1666666666666671E-2</v>
      </c>
      <c r="C97" s="4">
        <f t="shared" si="9"/>
        <v>0.12083333333333333</v>
      </c>
      <c r="D97" s="4">
        <f t="shared" si="10"/>
        <v>0.4225000000000001</v>
      </c>
      <c r="E97" s="4">
        <f t="shared" si="11"/>
        <v>-5.5815972222222253E-2</v>
      </c>
      <c r="F97" s="4"/>
      <c r="G97" s="4"/>
      <c r="H97" s="4"/>
      <c r="I97" s="3"/>
      <c r="J97" s="4"/>
      <c r="K97" s="4"/>
      <c r="L97" s="4"/>
      <c r="M97" s="3"/>
      <c r="N97" s="36"/>
      <c r="O97" s="3"/>
      <c r="P97" s="36"/>
    </row>
    <row r="98" spans="1:16" ht="15.75" thickBot="1" x14ac:dyDescent="0.3">
      <c r="A98" s="3"/>
      <c r="B98" s="4"/>
      <c r="C98" s="4"/>
      <c r="D98" s="4"/>
      <c r="E98" s="4"/>
      <c r="F98" s="4"/>
      <c r="G98" s="4"/>
      <c r="H98" s="4"/>
      <c r="I98" s="3"/>
      <c r="J98" s="36"/>
      <c r="K98" s="36"/>
      <c r="L98" s="36"/>
      <c r="M98" s="3"/>
      <c r="N98" s="36"/>
      <c r="O98" s="3"/>
      <c r="P98" s="36"/>
    </row>
    <row r="99" spans="1:16" ht="15.75" thickBot="1" x14ac:dyDescent="0.3">
      <c r="A99" s="88" t="s">
        <v>233</v>
      </c>
      <c r="B99" s="87">
        <v>4</v>
      </c>
      <c r="C99" s="3"/>
      <c r="D99" s="3"/>
      <c r="E99" s="3"/>
      <c r="F99" s="211" t="s">
        <v>232</v>
      </c>
      <c r="G99" s="211"/>
      <c r="H99" s="211"/>
      <c r="I99" s="211"/>
      <c r="J99" s="211" t="s">
        <v>231</v>
      </c>
      <c r="K99" s="211"/>
      <c r="L99" s="211"/>
      <c r="M99" s="211"/>
      <c r="N99" s="36"/>
      <c r="O99" s="3"/>
      <c r="P99" s="36"/>
    </row>
    <row r="100" spans="1:16" ht="17.25" x14ac:dyDescent="0.25">
      <c r="A100" s="3" t="s">
        <v>141</v>
      </c>
      <c r="B100" s="3" t="s">
        <v>230</v>
      </c>
      <c r="C100" s="3" t="s">
        <v>229</v>
      </c>
      <c r="D100" s="3" t="s">
        <v>228</v>
      </c>
      <c r="E100" s="3" t="s">
        <v>227</v>
      </c>
      <c r="F100" s="3" t="s">
        <v>8</v>
      </c>
      <c r="G100" s="3" t="s">
        <v>96</v>
      </c>
      <c r="H100" s="3" t="s">
        <v>13</v>
      </c>
      <c r="I100" s="3" t="s">
        <v>226</v>
      </c>
      <c r="J100" s="3" t="s">
        <v>8</v>
      </c>
      <c r="K100" s="3" t="s">
        <v>216</v>
      </c>
      <c r="L100" s="3" t="s">
        <v>13</v>
      </c>
      <c r="M100" s="3" t="s">
        <v>226</v>
      </c>
      <c r="N100" s="36"/>
      <c r="O100" s="3"/>
      <c r="P100" s="36"/>
    </row>
    <row r="101" spans="1:16" x14ac:dyDescent="0.25">
      <c r="A101" s="3">
        <v>0.4</v>
      </c>
      <c r="B101" s="4">
        <f t="shared" ref="B101:B112" si="12">0.06/A101/A101</f>
        <v>0.37499999999999994</v>
      </c>
      <c r="C101" s="4">
        <f t="shared" ref="C101:C112" si="13">0.145/A101</f>
        <v>0.36249999999999993</v>
      </c>
      <c r="D101" s="4">
        <f t="shared" ref="D101:D112" si="14">1.36-0.375*$B$99/A101</f>
        <v>-2.3899999999999997</v>
      </c>
      <c r="E101" s="4">
        <f t="shared" ref="E101:E112" si="15">C101*C101-4*B101*D101</f>
        <v>3.716406249999999</v>
      </c>
      <c r="F101" s="4"/>
      <c r="G101" s="4"/>
      <c r="H101" s="4"/>
      <c r="I101" s="3"/>
      <c r="J101" s="4"/>
      <c r="K101" s="4"/>
      <c r="L101" s="4"/>
      <c r="M101" s="3"/>
      <c r="N101" s="36"/>
      <c r="O101" s="3"/>
      <c r="P101" s="36"/>
    </row>
    <row r="102" spans="1:16" x14ac:dyDescent="0.25">
      <c r="A102" s="3">
        <v>0.5</v>
      </c>
      <c r="B102" s="4">
        <f t="shared" si="12"/>
        <v>0.24</v>
      </c>
      <c r="C102" s="4">
        <f t="shared" si="13"/>
        <v>0.28999999999999998</v>
      </c>
      <c r="D102" s="4">
        <f t="shared" si="14"/>
        <v>-1.64</v>
      </c>
      <c r="E102" s="4">
        <f t="shared" si="15"/>
        <v>1.6584999999999999</v>
      </c>
      <c r="F102" s="4"/>
      <c r="G102" s="4"/>
      <c r="H102" s="4"/>
      <c r="I102" s="3"/>
      <c r="J102" s="4"/>
      <c r="K102" s="4"/>
      <c r="L102" s="4"/>
      <c r="M102" s="3"/>
      <c r="N102" s="36"/>
      <c r="O102" s="3"/>
      <c r="P102" s="36"/>
    </row>
    <row r="103" spans="1:16" x14ac:dyDescent="0.25">
      <c r="A103" s="3">
        <v>0.6</v>
      </c>
      <c r="B103" s="4">
        <f t="shared" si="12"/>
        <v>0.16666666666666669</v>
      </c>
      <c r="C103" s="4">
        <f t="shared" si="13"/>
        <v>0.24166666666666667</v>
      </c>
      <c r="D103" s="4">
        <f t="shared" si="14"/>
        <v>-1.1399999999999999</v>
      </c>
      <c r="E103" s="4">
        <f t="shared" si="15"/>
        <v>0.81840277777777781</v>
      </c>
      <c r="F103" s="4"/>
      <c r="G103" s="4"/>
      <c r="H103" s="4"/>
      <c r="I103" s="3"/>
      <c r="J103" s="4"/>
      <c r="K103" s="4"/>
      <c r="L103" s="4"/>
      <c r="M103" s="3"/>
      <c r="N103" s="36"/>
      <c r="O103" s="3"/>
      <c r="P103" s="36"/>
    </row>
    <row r="104" spans="1:16" x14ac:dyDescent="0.25">
      <c r="A104" s="3">
        <v>0.7</v>
      </c>
      <c r="B104" s="4">
        <f t="shared" si="12"/>
        <v>0.12244897959183675</v>
      </c>
      <c r="C104" s="4">
        <f t="shared" si="13"/>
        <v>0.20714285714285713</v>
      </c>
      <c r="D104" s="4">
        <f t="shared" si="14"/>
        <v>-0.7828571428571427</v>
      </c>
      <c r="E104" s="4">
        <f t="shared" si="15"/>
        <v>0.42634839650145767</v>
      </c>
      <c r="F104" s="4"/>
      <c r="G104" s="4"/>
      <c r="H104" s="4"/>
      <c r="I104" s="3"/>
      <c r="J104" s="4"/>
      <c r="K104" s="4"/>
      <c r="L104" s="4"/>
      <c r="M104" s="3"/>
      <c r="N104" s="36"/>
      <c r="O104" s="3"/>
      <c r="P104" s="36"/>
    </row>
    <row r="105" spans="1:16" x14ac:dyDescent="0.25">
      <c r="A105" s="3">
        <v>0.8</v>
      </c>
      <c r="B105" s="4">
        <f t="shared" si="12"/>
        <v>9.3749999999999986E-2</v>
      </c>
      <c r="C105" s="4">
        <f t="shared" si="13"/>
        <v>0.18124999999999997</v>
      </c>
      <c r="D105" s="4">
        <f t="shared" si="14"/>
        <v>-0.5149999999999999</v>
      </c>
      <c r="E105" s="4">
        <f t="shared" si="15"/>
        <v>0.22597656249999992</v>
      </c>
      <c r="F105" s="4">
        <f t="shared" ref="F105:F110" si="16">(-C105+SQRT(E105))/2/B105</f>
        <v>1.5686395826408559</v>
      </c>
      <c r="G105" s="4">
        <f t="shared" ref="G105:G110" si="17">F105/$B$99</f>
        <v>0.39215989566021398</v>
      </c>
      <c r="H105" s="4">
        <f t="shared" ref="H105:H110" si="18">F105/A105</f>
        <v>1.9607994783010698</v>
      </c>
      <c r="I105" s="3">
        <f t="shared" ref="I105:I110" si="19">0.06/A105/A105*F105*F105+0.145/A105*F105+1.36-0.375*$B$99/A105</f>
        <v>0</v>
      </c>
      <c r="J105" s="4"/>
      <c r="K105" s="4"/>
      <c r="L105" s="4"/>
      <c r="M105" s="3"/>
      <c r="N105" s="36"/>
      <c r="O105" s="3"/>
      <c r="P105" s="36"/>
    </row>
    <row r="106" spans="1:16" x14ac:dyDescent="0.25">
      <c r="A106" s="3">
        <v>0.9</v>
      </c>
      <c r="B106" s="4">
        <f t="shared" si="12"/>
        <v>7.407407407407407E-2</v>
      </c>
      <c r="C106" s="4">
        <f t="shared" si="13"/>
        <v>0.16111111111111109</v>
      </c>
      <c r="D106" s="4">
        <f t="shared" si="14"/>
        <v>-0.30666666666666642</v>
      </c>
      <c r="E106" s="4">
        <f t="shared" si="15"/>
        <v>0.1168209876543209</v>
      </c>
      <c r="F106" s="4">
        <f t="shared" si="16"/>
        <v>1.2195882622908027</v>
      </c>
      <c r="G106" s="4">
        <f t="shared" si="17"/>
        <v>0.30489706557270069</v>
      </c>
      <c r="H106" s="4">
        <f t="shared" si="18"/>
        <v>1.3550980692120029</v>
      </c>
      <c r="I106" s="3">
        <f t="shared" si="19"/>
        <v>0</v>
      </c>
      <c r="J106" s="4">
        <f>(-C106-SQRT(E106))/2/B106</f>
        <v>-3.394588262290803</v>
      </c>
      <c r="K106" s="4">
        <f>J106/$B$99</f>
        <v>-0.84864706557270075</v>
      </c>
      <c r="L106" s="4">
        <f>J106/A106</f>
        <v>-3.7717647358786701</v>
      </c>
      <c r="M106" s="3">
        <f>0.06/A106/A106*J106*J106+0.145/A106*J106+1.36-0.375*$B$99/A106</f>
        <v>0</v>
      </c>
      <c r="N106" s="36"/>
      <c r="O106" s="3"/>
      <c r="P106" s="36"/>
    </row>
    <row r="107" spans="1:16" x14ac:dyDescent="0.25">
      <c r="A107" s="3">
        <v>1</v>
      </c>
      <c r="B107" s="4">
        <f t="shared" si="12"/>
        <v>0.06</v>
      </c>
      <c r="C107" s="4">
        <f t="shared" si="13"/>
        <v>0.14499999999999999</v>
      </c>
      <c r="D107" s="4">
        <f t="shared" si="14"/>
        <v>-0.1399999999999999</v>
      </c>
      <c r="E107" s="4">
        <f t="shared" si="15"/>
        <v>5.4624999999999979E-2</v>
      </c>
      <c r="F107" s="4">
        <f t="shared" si="16"/>
        <v>0.73933264875337368</v>
      </c>
      <c r="G107" s="4">
        <f t="shared" si="17"/>
        <v>0.18483316218834342</v>
      </c>
      <c r="H107" s="4">
        <f t="shared" si="18"/>
        <v>0.73933264875337368</v>
      </c>
      <c r="I107" s="3">
        <f t="shared" si="19"/>
        <v>0</v>
      </c>
      <c r="J107" s="4">
        <f>(-C107-SQRT(E107))/2/B107</f>
        <v>-3.1559993154200403</v>
      </c>
      <c r="K107" s="4">
        <f>J107/$B$99</f>
        <v>-0.78899982885501008</v>
      </c>
      <c r="L107" s="4">
        <f>J107/A107</f>
        <v>-3.1559993154200403</v>
      </c>
      <c r="M107" s="3">
        <f>0.06/A107/A107*J107*J107+0.145/A107*J107+1.36-0.375*$B$99/A107</f>
        <v>0</v>
      </c>
      <c r="N107" s="36"/>
      <c r="O107" s="3"/>
      <c r="P107" s="36"/>
    </row>
    <row r="108" spans="1:16" x14ac:dyDescent="0.25">
      <c r="A108" s="3">
        <v>1.1000000000000001</v>
      </c>
      <c r="B108" s="4">
        <f t="shared" si="12"/>
        <v>4.958677685950412E-2</v>
      </c>
      <c r="C108" s="4">
        <f t="shared" si="13"/>
        <v>0.13181818181818181</v>
      </c>
      <c r="D108" s="4">
        <f t="shared" si="14"/>
        <v>-3.6363636363634377E-3</v>
      </c>
      <c r="E108" s="4">
        <f t="shared" si="15"/>
        <v>1.8097295266716711E-2</v>
      </c>
      <c r="F108" s="4">
        <f t="shared" si="16"/>
        <v>2.7305729333748519E-2</v>
      </c>
      <c r="G108" s="4">
        <f t="shared" si="17"/>
        <v>6.8264323334371298E-3</v>
      </c>
      <c r="H108" s="4">
        <f t="shared" si="18"/>
        <v>2.4823390303407744E-2</v>
      </c>
      <c r="I108" s="3">
        <f t="shared" si="19"/>
        <v>0</v>
      </c>
      <c r="J108" s="4">
        <f>(-C108-SQRT(E108))/2/B108</f>
        <v>-2.6856390626670827</v>
      </c>
      <c r="K108" s="4">
        <f>J108/$B$99</f>
        <v>-0.67140976566677069</v>
      </c>
      <c r="L108" s="4">
        <f>J108/A108</f>
        <v>-2.4414900569700748</v>
      </c>
      <c r="M108" s="3">
        <f>0.06/A108/A108*J108*J108+0.145/A108*J108+1.36-0.375*$B$99/A108</f>
        <v>0</v>
      </c>
      <c r="N108" s="2" t="s">
        <v>225</v>
      </c>
      <c r="O108" s="3"/>
      <c r="P108" s="36"/>
    </row>
    <row r="109" spans="1:16" x14ac:dyDescent="0.25">
      <c r="A109" s="3">
        <v>1.1499999999999999</v>
      </c>
      <c r="B109" s="4">
        <f t="shared" si="12"/>
        <v>4.5368620037807193E-2</v>
      </c>
      <c r="C109" s="4">
        <f t="shared" si="13"/>
        <v>0.12608695652173912</v>
      </c>
      <c r="D109" s="4">
        <f t="shared" si="14"/>
        <v>5.5652173913043557E-2</v>
      </c>
      <c r="E109" s="4">
        <f t="shared" si="15"/>
        <v>5.7984712747595792E-3</v>
      </c>
      <c r="F109" s="4">
        <f t="shared" si="16"/>
        <v>-0.55037229097800944</v>
      </c>
      <c r="G109" s="4">
        <f t="shared" si="17"/>
        <v>-0.13759307274450236</v>
      </c>
      <c r="H109" s="4">
        <f t="shared" si="18"/>
        <v>-0.47858460085044302</v>
      </c>
      <c r="I109" s="3">
        <f t="shared" si="19"/>
        <v>0</v>
      </c>
      <c r="J109" s="4">
        <f>(-C109-SQRT(E109))/2/B109</f>
        <v>-2.2287943756886563</v>
      </c>
      <c r="K109" s="4">
        <f>J109/$B$99</f>
        <v>-0.55719859392216409</v>
      </c>
      <c r="L109" s="4">
        <f>J109/A109</f>
        <v>-1.938082065816223</v>
      </c>
      <c r="M109" s="3">
        <f>0.06/A109/A109*J109*J109+0.145/A109*J109+1.36-0.375*$B$99/A109</f>
        <v>0</v>
      </c>
      <c r="N109" s="36"/>
      <c r="O109" s="3"/>
      <c r="P109" s="36"/>
    </row>
    <row r="110" spans="1:16" x14ac:dyDescent="0.25">
      <c r="A110" s="7">
        <v>1.17</v>
      </c>
      <c r="B110" s="8">
        <f t="shared" si="12"/>
        <v>4.3830813061582291E-2</v>
      </c>
      <c r="C110" s="8">
        <f t="shared" si="13"/>
        <v>0.12393162393162394</v>
      </c>
      <c r="D110" s="8">
        <f t="shared" si="14"/>
        <v>7.7948717948717938E-2</v>
      </c>
      <c r="E110" s="8">
        <f t="shared" si="15"/>
        <v>1.692824671128421E-3</v>
      </c>
      <c r="F110" s="8">
        <f t="shared" si="16"/>
        <v>-0.94440038350926481</v>
      </c>
      <c r="G110" s="8">
        <f t="shared" si="17"/>
        <v>-0.2361000958773162</v>
      </c>
      <c r="H110" s="8">
        <f t="shared" si="18"/>
        <v>-0.80717981496518365</v>
      </c>
      <c r="I110" s="7">
        <f t="shared" si="19"/>
        <v>0</v>
      </c>
      <c r="J110" s="8">
        <f>(-C110-SQRT(E110))/2/B110</f>
        <v>-1.8830996164907354</v>
      </c>
      <c r="K110" s="8">
        <f>J110/$B$99</f>
        <v>-0.47077490412268386</v>
      </c>
      <c r="L110" s="8">
        <f>J110/A110</f>
        <v>-1.6094868517014833</v>
      </c>
      <c r="M110" s="7">
        <f>0.06/A110/A110*J110*J110+0.145/A110*J110+1.36-0.375*$B$99/A110</f>
        <v>0</v>
      </c>
      <c r="N110" s="36"/>
      <c r="O110" s="3"/>
      <c r="P110" s="36"/>
    </row>
    <row r="111" spans="1:16" x14ac:dyDescent="0.25">
      <c r="A111" s="3">
        <v>1.4</v>
      </c>
      <c r="B111" s="4">
        <f t="shared" si="12"/>
        <v>3.0612244897959186E-2</v>
      </c>
      <c r="C111" s="4">
        <f t="shared" si="13"/>
        <v>0.10357142857142856</v>
      </c>
      <c r="D111" s="4">
        <f t="shared" si="14"/>
        <v>0.2885714285714287</v>
      </c>
      <c r="E111" s="4">
        <f t="shared" si="15"/>
        <v>-2.460823615160352E-2</v>
      </c>
      <c r="F111" s="4"/>
      <c r="G111" s="4"/>
      <c r="H111" s="4"/>
      <c r="I111" s="3"/>
      <c r="J111" s="4"/>
      <c r="K111" s="4"/>
      <c r="L111" s="4"/>
      <c r="M111" s="3"/>
      <c r="N111" s="36"/>
      <c r="O111" s="3"/>
      <c r="P111" s="36"/>
    </row>
    <row r="112" spans="1:16" x14ac:dyDescent="0.25">
      <c r="A112" s="3">
        <v>1.5</v>
      </c>
      <c r="B112" s="4">
        <f t="shared" si="12"/>
        <v>2.6666666666666668E-2</v>
      </c>
      <c r="C112" s="4">
        <f t="shared" si="13"/>
        <v>9.6666666666666665E-2</v>
      </c>
      <c r="D112" s="4">
        <f t="shared" si="14"/>
        <v>0.3600000000000001</v>
      </c>
      <c r="E112" s="4">
        <f t="shared" si="15"/>
        <v>-2.9055555555555567E-2</v>
      </c>
      <c r="F112" s="4"/>
      <c r="G112" s="4"/>
      <c r="H112" s="4"/>
      <c r="I112" s="3"/>
      <c r="J112" s="4"/>
      <c r="K112" s="4"/>
      <c r="L112" s="4"/>
      <c r="M112" s="3"/>
      <c r="N112" s="36"/>
      <c r="O112" s="3"/>
      <c r="P112" s="36"/>
    </row>
    <row r="113" spans="1:16" x14ac:dyDescent="0.25">
      <c r="A113" s="36"/>
      <c r="B113" s="36"/>
      <c r="C113" s="36"/>
      <c r="D113" s="36"/>
      <c r="E113" s="36"/>
      <c r="F113" s="36"/>
      <c r="G113" s="36"/>
      <c r="H113" s="36"/>
      <c r="I113" s="36"/>
      <c r="J113" s="36"/>
      <c r="K113" s="36"/>
      <c r="L113" s="36"/>
      <c r="M113" s="3"/>
      <c r="N113" s="36"/>
      <c r="O113" s="3"/>
      <c r="P113" s="36"/>
    </row>
    <row r="114" spans="1:16" ht="17.25" x14ac:dyDescent="0.25">
      <c r="A114" s="36" t="s">
        <v>392</v>
      </c>
      <c r="B114" s="36"/>
      <c r="C114" s="36"/>
      <c r="D114" s="36"/>
      <c r="E114" s="36"/>
      <c r="F114" s="36"/>
      <c r="G114" s="36"/>
      <c r="H114" s="36"/>
      <c r="I114" s="36"/>
      <c r="J114" s="36"/>
      <c r="K114" s="36"/>
      <c r="L114" s="36"/>
      <c r="M114" s="3"/>
      <c r="N114" s="36"/>
      <c r="O114" s="3"/>
      <c r="P114" s="36"/>
    </row>
    <row r="115" spans="1:16" x14ac:dyDescent="0.25">
      <c r="A115" s="36" t="s">
        <v>224</v>
      </c>
      <c r="B115" s="36"/>
      <c r="C115" s="36"/>
      <c r="D115" s="36"/>
      <c r="E115" s="36"/>
      <c r="F115" s="36"/>
      <c r="G115" s="36"/>
      <c r="H115" s="36"/>
      <c r="I115" s="36"/>
      <c r="J115" s="36"/>
      <c r="K115" s="36"/>
      <c r="L115" s="36"/>
      <c r="M115" s="3"/>
      <c r="N115" s="36"/>
      <c r="O115" s="3"/>
      <c r="P115" s="36"/>
    </row>
    <row r="116" spans="1:16" ht="15.75" thickBot="1" x14ac:dyDescent="0.3">
      <c r="A116" s="36" t="s">
        <v>223</v>
      </c>
      <c r="B116" s="36"/>
      <c r="C116" s="36"/>
      <c r="D116" s="36"/>
      <c r="E116" s="36"/>
      <c r="F116" s="36"/>
      <c r="G116" s="36"/>
      <c r="H116" s="36"/>
      <c r="I116" s="36"/>
      <c r="J116" s="36"/>
      <c r="K116" s="36"/>
      <c r="L116" s="36"/>
      <c r="M116" s="3"/>
      <c r="N116" s="36"/>
      <c r="O116" s="3"/>
      <c r="P116" s="36"/>
    </row>
    <row r="117" spans="1:16" ht="15.75" thickBot="1" x14ac:dyDescent="0.3">
      <c r="A117" s="86" t="s">
        <v>222</v>
      </c>
      <c r="B117" s="85">
        <v>-1.208</v>
      </c>
      <c r="C117" s="81" t="s">
        <v>135</v>
      </c>
      <c r="D117" s="36"/>
      <c r="E117" s="36"/>
      <c r="F117" s="36"/>
      <c r="G117" s="36"/>
      <c r="H117" s="36"/>
      <c r="I117" s="36"/>
      <c r="J117" s="36"/>
      <c r="K117" s="36"/>
      <c r="L117" s="36"/>
      <c r="M117" s="3"/>
      <c r="N117" s="36"/>
      <c r="O117" s="3"/>
      <c r="P117" s="36"/>
    </row>
    <row r="118" spans="1:16" x14ac:dyDescent="0.25">
      <c r="A118" s="36"/>
      <c r="B118" s="36"/>
      <c r="C118" s="36"/>
      <c r="D118" s="36"/>
      <c r="E118" s="36"/>
      <c r="F118" s="36"/>
      <c r="G118" s="36"/>
      <c r="H118" s="36"/>
      <c r="I118" s="36"/>
      <c r="J118" s="36"/>
      <c r="K118" s="36"/>
      <c r="L118" s="36"/>
      <c r="M118" s="3"/>
      <c r="N118" s="36"/>
      <c r="O118" s="3"/>
      <c r="P118" s="36"/>
    </row>
    <row r="119" spans="1:16" x14ac:dyDescent="0.25">
      <c r="A119" s="92" t="s">
        <v>221</v>
      </c>
      <c r="B119" s="48" t="s">
        <v>135</v>
      </c>
      <c r="C119" s="36"/>
      <c r="D119" s="36"/>
      <c r="E119" s="36"/>
      <c r="F119" s="36"/>
      <c r="G119" s="36"/>
      <c r="H119" s="36"/>
      <c r="I119" s="36"/>
      <c r="J119" s="36"/>
      <c r="K119" s="36"/>
      <c r="L119" s="36"/>
      <c r="M119" s="3"/>
      <c r="N119" s="36"/>
      <c r="O119" s="3"/>
      <c r="P119" s="36"/>
    </row>
    <row r="120" spans="1:16" x14ac:dyDescent="0.25">
      <c r="A120" s="93">
        <f>$B$117*B120</f>
        <v>0</v>
      </c>
      <c r="B120" s="17">
        <v>0</v>
      </c>
      <c r="C120" s="36"/>
      <c r="D120" s="36"/>
      <c r="E120" s="36"/>
      <c r="F120" s="36"/>
      <c r="G120" s="36"/>
      <c r="H120" s="36"/>
      <c r="I120" s="36"/>
      <c r="J120" s="36"/>
      <c r="K120" s="36"/>
      <c r="L120" s="36"/>
      <c r="M120" s="3"/>
      <c r="N120" s="36"/>
      <c r="O120" s="3"/>
      <c r="P120" s="36"/>
    </row>
    <row r="121" spans="1:16" x14ac:dyDescent="0.25">
      <c r="A121" s="94">
        <f>$B$117*B121</f>
        <v>-1.6911999999999998</v>
      </c>
      <c r="B121" s="19">
        <v>1.4</v>
      </c>
      <c r="C121" s="36"/>
      <c r="D121" s="36"/>
      <c r="E121" s="36"/>
      <c r="F121" s="36"/>
      <c r="G121" s="36"/>
      <c r="H121" s="36"/>
      <c r="I121" s="36"/>
      <c r="J121" s="36"/>
      <c r="K121" s="36"/>
      <c r="L121" s="36"/>
      <c r="M121" s="3"/>
      <c r="N121" s="36"/>
      <c r="O121" s="3"/>
      <c r="P121" s="36"/>
    </row>
    <row r="122" spans="1:16" x14ac:dyDescent="0.25">
      <c r="A122" s="36"/>
      <c r="B122" s="36"/>
      <c r="C122" s="36"/>
      <c r="D122" s="36"/>
      <c r="E122" s="36"/>
      <c r="F122" s="36"/>
      <c r="G122" s="36"/>
      <c r="H122" s="36"/>
      <c r="I122" s="36"/>
      <c r="J122" s="36"/>
      <c r="K122" s="36"/>
      <c r="L122" s="36"/>
      <c r="M122" s="3"/>
      <c r="N122" s="36"/>
      <c r="O122" s="3"/>
      <c r="P122" s="36"/>
    </row>
    <row r="123" spans="1:16" ht="15.75" thickBot="1" x14ac:dyDescent="0.3">
      <c r="A123" s="36" t="s">
        <v>220</v>
      </c>
      <c r="B123" s="36"/>
      <c r="C123" s="36"/>
      <c r="D123" s="36"/>
      <c r="E123" s="36"/>
      <c r="F123" s="36"/>
      <c r="G123" s="36"/>
      <c r="H123" s="36"/>
      <c r="I123" s="36"/>
      <c r="J123" s="36"/>
      <c r="K123" s="36"/>
      <c r="L123" s="36"/>
      <c r="M123" s="3"/>
      <c r="N123" s="36"/>
      <c r="O123" s="3"/>
      <c r="P123" s="36"/>
    </row>
    <row r="124" spans="1:16" s="91" customFormat="1" ht="30" x14ac:dyDescent="0.25">
      <c r="A124" s="89" t="s">
        <v>219</v>
      </c>
      <c r="B124" s="89" t="s">
        <v>218</v>
      </c>
      <c r="C124" s="89" t="s">
        <v>217</v>
      </c>
      <c r="D124" s="90" t="s">
        <v>216</v>
      </c>
      <c r="E124" s="90" t="s">
        <v>96</v>
      </c>
      <c r="G124" s="89"/>
      <c r="H124" s="89"/>
      <c r="I124" s="89"/>
      <c r="J124" s="89"/>
      <c r="K124" s="89"/>
      <c r="L124" s="89"/>
      <c r="M124" s="89"/>
      <c r="N124" s="89"/>
      <c r="O124" s="89"/>
    </row>
    <row r="125" spans="1:16" x14ac:dyDescent="0.25">
      <c r="A125" s="3">
        <v>2</v>
      </c>
      <c r="B125" s="3">
        <v>0.57999999999999996</v>
      </c>
      <c r="C125" s="4">
        <f>-1.21*B125</f>
        <v>-0.70179999999999998</v>
      </c>
      <c r="D125" s="84">
        <f>C125/A125</f>
        <v>-0.35089999999999999</v>
      </c>
      <c r="E125" s="84">
        <f>D125/(1-D125)</f>
        <v>-0.25975275742097859</v>
      </c>
      <c r="F125" s="36"/>
      <c r="G125" s="3"/>
      <c r="H125" s="4"/>
      <c r="I125" s="4"/>
      <c r="J125" s="4"/>
      <c r="K125" s="4"/>
      <c r="L125" s="4"/>
      <c r="M125" s="4"/>
      <c r="N125" s="4"/>
      <c r="O125" s="4"/>
      <c r="P125" s="36"/>
    </row>
    <row r="126" spans="1:16" x14ac:dyDescent="0.25">
      <c r="A126" s="3">
        <v>3</v>
      </c>
      <c r="B126" s="3">
        <v>0.88</v>
      </c>
      <c r="C126" s="4">
        <f>-1.21*B126</f>
        <v>-1.0648</v>
      </c>
      <c r="D126" s="84">
        <f>C126/A126</f>
        <v>-0.35493333333333332</v>
      </c>
      <c r="E126" s="84">
        <f t="shared" ref="E126:E127" si="20">D126/(1-D126)</f>
        <v>-0.26195630781342255</v>
      </c>
      <c r="F126" s="36"/>
      <c r="G126" s="36"/>
      <c r="H126" s="4"/>
      <c r="I126" s="4"/>
      <c r="J126" s="4"/>
      <c r="K126" s="4"/>
      <c r="L126" s="4"/>
      <c r="M126" s="4"/>
      <c r="N126" s="4"/>
      <c r="O126" s="4"/>
      <c r="P126" s="36"/>
    </row>
    <row r="127" spans="1:16" ht="15.75" thickBot="1" x14ac:dyDescent="0.3">
      <c r="A127" s="3">
        <v>4</v>
      </c>
      <c r="B127" s="3">
        <v>1.17</v>
      </c>
      <c r="C127" s="4">
        <f>-1.21*B127</f>
        <v>-1.4157</v>
      </c>
      <c r="D127" s="83">
        <f>C127/A127</f>
        <v>-0.35392499999999999</v>
      </c>
      <c r="E127" s="83">
        <f t="shared" si="20"/>
        <v>-0.26140665103310745</v>
      </c>
      <c r="F127" s="36"/>
      <c r="G127" s="36"/>
      <c r="H127" s="4"/>
      <c r="I127" s="4"/>
      <c r="J127" s="4"/>
      <c r="K127" s="4"/>
      <c r="L127" s="4"/>
      <c r="M127" s="4"/>
      <c r="N127" s="4"/>
      <c r="O127" s="4"/>
      <c r="P127" s="36"/>
    </row>
    <row r="128" spans="1:16" ht="15.75" thickBot="1" x14ac:dyDescent="0.3">
      <c r="A128" s="36"/>
      <c r="B128" s="36"/>
      <c r="C128" s="36"/>
      <c r="D128" s="36"/>
      <c r="E128" s="36"/>
      <c r="F128" s="36"/>
      <c r="G128" s="36"/>
      <c r="H128" s="36"/>
      <c r="I128" s="36"/>
      <c r="J128" s="36"/>
      <c r="K128" s="36"/>
      <c r="L128" s="36"/>
      <c r="M128" s="3"/>
      <c r="N128" s="36"/>
      <c r="O128" s="3"/>
      <c r="P128" s="36"/>
    </row>
    <row r="129" spans="1:16" ht="15.75" thickBot="1" x14ac:dyDescent="0.3">
      <c r="A129" s="36" t="s">
        <v>215</v>
      </c>
      <c r="B129" s="36"/>
      <c r="C129" s="36"/>
      <c r="D129" s="36"/>
      <c r="E129" s="36"/>
      <c r="F129" s="36"/>
      <c r="G129" s="82" t="s">
        <v>214</v>
      </c>
      <c r="H129" s="81"/>
      <c r="I129" s="9" t="s">
        <v>243</v>
      </c>
      <c r="J129" s="9"/>
      <c r="K129" s="9"/>
      <c r="L129" s="9"/>
      <c r="M129" s="7"/>
      <c r="N129" s="9"/>
      <c r="O129" s="7"/>
      <c r="P129" s="9"/>
    </row>
    <row r="130" spans="1:16" x14ac:dyDescent="0.25">
      <c r="A130" s="36"/>
      <c r="D130" s="36"/>
      <c r="E130" s="36"/>
      <c r="F130" s="36"/>
      <c r="G130" s="36"/>
      <c r="H130" s="36"/>
      <c r="I130" s="36"/>
      <c r="J130" s="36"/>
      <c r="K130" s="36"/>
      <c r="L130" s="36"/>
      <c r="M130" s="3"/>
      <c r="N130" s="36"/>
      <c r="O130" s="3"/>
      <c r="P130" s="36"/>
    </row>
    <row r="131" spans="1:16" x14ac:dyDescent="0.25">
      <c r="A131" s="36"/>
      <c r="B131" s="36"/>
      <c r="C131" s="36"/>
      <c r="D131" s="36"/>
      <c r="E131" s="36"/>
      <c r="F131" s="36"/>
      <c r="G131" s="36"/>
      <c r="H131" s="36"/>
      <c r="I131" s="36"/>
      <c r="J131" s="36"/>
      <c r="K131" s="36"/>
      <c r="L131" s="36"/>
      <c r="M131" s="3"/>
      <c r="N131" s="36"/>
      <c r="O131" s="3"/>
      <c r="P131" s="36"/>
    </row>
    <row r="132" spans="1:16" x14ac:dyDescent="0.25">
      <c r="A132" s="36"/>
      <c r="B132" s="36"/>
      <c r="C132" s="36"/>
      <c r="D132" s="36"/>
      <c r="E132" s="36"/>
      <c r="F132" s="36"/>
      <c r="G132" s="36"/>
      <c r="H132" s="36"/>
      <c r="I132" s="36"/>
      <c r="J132" s="36"/>
      <c r="K132" s="36"/>
      <c r="L132" s="36"/>
      <c r="M132" s="3"/>
      <c r="N132" s="36"/>
      <c r="O132" s="3"/>
      <c r="P132" s="36"/>
    </row>
    <row r="133" spans="1:16" x14ac:dyDescent="0.25">
      <c r="A133" s="36"/>
      <c r="B133" s="36"/>
      <c r="C133" s="36"/>
      <c r="D133" s="36"/>
      <c r="E133" s="36"/>
      <c r="F133" s="36"/>
      <c r="G133" s="36"/>
      <c r="H133" s="36"/>
      <c r="I133" s="36"/>
      <c r="J133" s="36"/>
      <c r="K133" s="36"/>
      <c r="L133" s="36"/>
      <c r="M133" s="3"/>
      <c r="N133" s="36"/>
      <c r="O133" s="3"/>
      <c r="P133" s="36"/>
    </row>
    <row r="134" spans="1:16" x14ac:dyDescent="0.25">
      <c r="A134" s="36"/>
      <c r="B134" s="36"/>
      <c r="C134" s="36"/>
      <c r="D134" s="36"/>
      <c r="E134" s="36"/>
      <c r="F134" s="36"/>
      <c r="G134" s="36"/>
      <c r="H134" s="36"/>
      <c r="I134" s="36"/>
      <c r="J134" s="36"/>
      <c r="K134" s="36"/>
      <c r="L134" s="36"/>
      <c r="M134" s="3"/>
      <c r="N134" s="36"/>
      <c r="O134" s="3"/>
      <c r="P134" s="36"/>
    </row>
    <row r="135" spans="1:16" x14ac:dyDescent="0.25">
      <c r="A135" s="36"/>
      <c r="B135" s="36"/>
      <c r="C135" s="36"/>
      <c r="D135" s="36"/>
      <c r="E135" s="36"/>
      <c r="F135" s="36"/>
      <c r="G135" s="36"/>
      <c r="H135" s="36"/>
      <c r="I135" s="36"/>
      <c r="J135" s="36"/>
      <c r="K135" s="36"/>
      <c r="L135" s="36"/>
      <c r="M135" s="3"/>
      <c r="N135" s="36"/>
      <c r="O135" s="3"/>
      <c r="P135" s="36"/>
    </row>
  </sheetData>
  <mergeCells count="7">
    <mergeCell ref="F99:I99"/>
    <mergeCell ref="J99:M99"/>
    <mergeCell ref="E39:G39"/>
    <mergeCell ref="F74:I74"/>
    <mergeCell ref="J74:M74"/>
    <mergeCell ref="F86:I86"/>
    <mergeCell ref="J86:M86"/>
  </mergeCells>
  <pageMargins left="0.25" right="0.25" top="0.75" bottom="0.75" header="0.3" footer="0.3"/>
  <pageSetup paperSize="9"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selection activeCell="N5" sqref="N5"/>
    </sheetView>
  </sheetViews>
  <sheetFormatPr baseColWidth="10" defaultRowHeight="15" x14ac:dyDescent="0.25"/>
  <cols>
    <col min="3" max="3" width="5.5703125" customWidth="1"/>
  </cols>
  <sheetData>
    <row r="1" spans="1:5" s="10" customFormat="1" x14ac:dyDescent="0.25">
      <c r="A1" s="10" t="s">
        <v>77</v>
      </c>
    </row>
    <row r="2" spans="1:5" x14ac:dyDescent="0.25">
      <c r="A2" t="s">
        <v>81</v>
      </c>
      <c r="D2">
        <v>1.25</v>
      </c>
      <c r="E2" t="s">
        <v>466</v>
      </c>
    </row>
    <row r="3" spans="1:5" x14ac:dyDescent="0.25">
      <c r="A3" t="s">
        <v>84</v>
      </c>
      <c r="D3">
        <v>5.0999999999999996</v>
      </c>
      <c r="E3" s="36" t="s">
        <v>93</v>
      </c>
    </row>
    <row r="4" spans="1:5" x14ac:dyDescent="0.25">
      <c r="A4" t="s">
        <v>53</v>
      </c>
      <c r="D4">
        <v>1.58</v>
      </c>
    </row>
    <row r="5" spans="1:5" x14ac:dyDescent="0.25">
      <c r="A5" t="s">
        <v>82</v>
      </c>
      <c r="D5">
        <v>8.5</v>
      </c>
      <c r="E5" t="s">
        <v>94</v>
      </c>
    </row>
    <row r="6" spans="1:5" x14ac:dyDescent="0.25">
      <c r="A6" t="s">
        <v>83</v>
      </c>
      <c r="D6">
        <v>-4.5</v>
      </c>
    </row>
    <row r="7" spans="1:5" x14ac:dyDescent="0.25">
      <c r="A7" t="s">
        <v>98</v>
      </c>
      <c r="D7" s="1" t="s">
        <v>99</v>
      </c>
      <c r="E7" t="s">
        <v>100</v>
      </c>
    </row>
    <row r="8" spans="1:5" x14ac:dyDescent="0.25">
      <c r="A8" t="s">
        <v>18</v>
      </c>
      <c r="B8" t="s">
        <v>78</v>
      </c>
      <c r="C8" s="2">
        <f>D6/D2</f>
        <v>-3.6</v>
      </c>
    </row>
    <row r="9" spans="1:5" x14ac:dyDescent="0.25">
      <c r="B9" t="s">
        <v>79</v>
      </c>
      <c r="C9" s="29">
        <f>D5/D4/D2</f>
        <v>4.3037974683544302</v>
      </c>
    </row>
    <row r="10" spans="1:5" x14ac:dyDescent="0.25">
      <c r="B10" t="s">
        <v>80</v>
      </c>
      <c r="C10" s="29">
        <f>D3/D4/D2</f>
        <v>2.5822784810126578</v>
      </c>
    </row>
    <row r="11" spans="1:5" x14ac:dyDescent="0.25">
      <c r="B11" t="s">
        <v>55</v>
      </c>
      <c r="C11" s="6">
        <f>D3/D5</f>
        <v>0.6</v>
      </c>
    </row>
    <row r="12" spans="1:5" s="36" customFormat="1" x14ac:dyDescent="0.25">
      <c r="C12" s="6"/>
    </row>
    <row r="13" spans="1:5" s="10" customFormat="1" x14ac:dyDescent="0.25"/>
    <row r="14" spans="1:5" s="10" customFormat="1" x14ac:dyDescent="0.25"/>
    <row r="28" spans="8:8" x14ac:dyDescent="0.25">
      <c r="H28" s="30"/>
    </row>
  </sheetData>
  <pageMargins left="0.7" right="0.7" top="0.75" bottom="0.75" header="0.3" footer="0.3"/>
  <pageSetup paperSize="9"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13" sqref="B13"/>
    </sheetView>
  </sheetViews>
  <sheetFormatPr baseColWidth="10" defaultRowHeight="15" x14ac:dyDescent="0.25"/>
  <sheetData>
    <row r="1" spans="1:2" s="10" customFormat="1" x14ac:dyDescent="0.25">
      <c r="A1" s="10" t="s">
        <v>118</v>
      </c>
    </row>
    <row r="2" spans="1:2" x14ac:dyDescent="0.25">
      <c r="A2" t="s">
        <v>102</v>
      </c>
    </row>
    <row r="3" spans="1:2" x14ac:dyDescent="0.25">
      <c r="B3" t="s">
        <v>119</v>
      </c>
    </row>
    <row r="4" spans="1:2" x14ac:dyDescent="0.25">
      <c r="B4" t="s">
        <v>120</v>
      </c>
    </row>
    <row r="5" spans="1:2" x14ac:dyDescent="0.25">
      <c r="B5" t="s">
        <v>121</v>
      </c>
    </row>
    <row r="6" spans="1:2" x14ac:dyDescent="0.25">
      <c r="B6" t="s">
        <v>122</v>
      </c>
    </row>
    <row r="7" spans="1:2" x14ac:dyDescent="0.25">
      <c r="B7" t="s">
        <v>127</v>
      </c>
    </row>
    <row r="8" spans="1:2" s="45" customFormat="1" x14ac:dyDescent="0.25">
      <c r="B8" s="45" t="s">
        <v>126</v>
      </c>
    </row>
    <row r="9" spans="1:2" x14ac:dyDescent="0.25">
      <c r="B9" t="s">
        <v>426</v>
      </c>
    </row>
    <row r="10" spans="1:2" x14ac:dyDescent="0.25">
      <c r="B10" t="s">
        <v>128</v>
      </c>
    </row>
    <row r="11" spans="1:2" x14ac:dyDescent="0.25">
      <c r="B11" t="s">
        <v>129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D27" sqref="D27"/>
    </sheetView>
  </sheetViews>
  <sheetFormatPr baseColWidth="10" defaultRowHeight="15" x14ac:dyDescent="0.25"/>
  <sheetData>
    <row r="1" spans="1:4" x14ac:dyDescent="0.25">
      <c r="A1" s="10" t="s">
        <v>400</v>
      </c>
      <c r="B1" s="10"/>
      <c r="C1" s="10"/>
      <c r="D1" s="10"/>
    </row>
    <row r="2" spans="1:4" x14ac:dyDescent="0.25">
      <c r="A2" s="45" t="s">
        <v>102</v>
      </c>
      <c r="B2" s="45"/>
      <c r="C2" s="45"/>
      <c r="D2" s="45"/>
    </row>
    <row r="3" spans="1:4" s="36" customFormat="1" x14ac:dyDescent="0.25">
      <c r="A3" s="45"/>
      <c r="B3" s="45" t="s">
        <v>401</v>
      </c>
      <c r="C3" s="45"/>
      <c r="D3" s="45"/>
    </row>
    <row r="4" spans="1:4" s="36" customFormat="1" x14ac:dyDescent="0.25">
      <c r="A4" s="45"/>
      <c r="B4" s="45" t="s">
        <v>404</v>
      </c>
      <c r="C4" s="45"/>
      <c r="D4" s="45"/>
    </row>
    <row r="5" spans="1:4" s="36" customFormat="1" x14ac:dyDescent="0.25">
      <c r="A5" s="45"/>
      <c r="B5" s="45" t="s">
        <v>405</v>
      </c>
      <c r="C5" s="45"/>
      <c r="D5" s="45"/>
    </row>
    <row r="6" spans="1:4" x14ac:dyDescent="0.25">
      <c r="A6" s="45"/>
      <c r="B6" s="45" t="s">
        <v>402</v>
      </c>
      <c r="C6" s="45"/>
      <c r="D6" s="45"/>
    </row>
    <row r="7" spans="1:4" x14ac:dyDescent="0.25">
      <c r="A7" s="45"/>
      <c r="B7" s="45" t="s">
        <v>403</v>
      </c>
      <c r="C7" s="45"/>
      <c r="D7" s="45"/>
    </row>
    <row r="8" spans="1:4" x14ac:dyDescent="0.25">
      <c r="A8" s="45"/>
      <c r="B8" s="45" t="s">
        <v>414</v>
      </c>
      <c r="C8" s="45"/>
      <c r="D8" s="45"/>
    </row>
    <row r="9" spans="1:4" x14ac:dyDescent="0.25">
      <c r="A9" s="45"/>
      <c r="B9" s="45" t="s">
        <v>419</v>
      </c>
      <c r="C9" s="45"/>
      <c r="D9" s="45"/>
    </row>
    <row r="10" spans="1:4" x14ac:dyDescent="0.25">
      <c r="A10" s="45"/>
      <c r="B10" s="45" t="s">
        <v>406</v>
      </c>
      <c r="C10" s="45"/>
      <c r="D10" s="45"/>
    </row>
    <row r="11" spans="1:4" x14ac:dyDescent="0.25">
      <c r="A11" s="45"/>
      <c r="B11" s="45" t="s">
        <v>427</v>
      </c>
      <c r="C11" s="45"/>
      <c r="D11" s="45"/>
    </row>
    <row r="12" spans="1:4" x14ac:dyDescent="0.25">
      <c r="A12" s="45"/>
      <c r="B12" s="45" t="s">
        <v>407</v>
      </c>
      <c r="C12" s="45"/>
      <c r="D12" s="45"/>
    </row>
    <row r="13" spans="1:4" x14ac:dyDescent="0.25">
      <c r="A13" s="45"/>
      <c r="B13" s="45" t="s">
        <v>408</v>
      </c>
      <c r="C13" s="45"/>
      <c r="D13" s="45"/>
    </row>
    <row r="14" spans="1:4" x14ac:dyDescent="0.25">
      <c r="A14" s="45"/>
      <c r="B14" s="45" t="s">
        <v>409</v>
      </c>
      <c r="C14" s="45"/>
      <c r="D14" s="45"/>
    </row>
    <row r="15" spans="1:4" s="36" customFormat="1" x14ac:dyDescent="0.25">
      <c r="A15" s="45"/>
      <c r="B15" s="45"/>
      <c r="C15" s="45"/>
      <c r="D15" s="45"/>
    </row>
    <row r="16" spans="1:4" x14ac:dyDescent="0.25">
      <c r="A16" t="s">
        <v>420</v>
      </c>
    </row>
    <row r="17" spans="1:5" s="36" customFormat="1" x14ac:dyDescent="0.25"/>
    <row r="18" spans="1:5" x14ac:dyDescent="0.25">
      <c r="A18" s="45" t="s">
        <v>417</v>
      </c>
    </row>
    <row r="19" spans="1:5" x14ac:dyDescent="0.25">
      <c r="A19" s="36" t="s">
        <v>410</v>
      </c>
      <c r="B19" s="36"/>
      <c r="C19" s="36"/>
      <c r="E19" s="6">
        <v>0.21</v>
      </c>
    </row>
    <row r="20" spans="1:5" x14ac:dyDescent="0.25">
      <c r="A20" s="36" t="s">
        <v>52</v>
      </c>
      <c r="B20" s="36"/>
      <c r="C20" s="36"/>
      <c r="E20" s="29">
        <v>2.5</v>
      </c>
    </row>
    <row r="21" spans="1:5" x14ac:dyDescent="0.25">
      <c r="A21" s="36" t="s">
        <v>53</v>
      </c>
      <c r="B21" s="36"/>
      <c r="C21" s="36"/>
      <c r="E21" s="6">
        <v>1.58</v>
      </c>
    </row>
    <row r="22" spans="1:5" x14ac:dyDescent="0.25">
      <c r="A22" s="36" t="s">
        <v>421</v>
      </c>
      <c r="B22" s="36"/>
      <c r="C22" s="36"/>
      <c r="E22" s="154">
        <v>15</v>
      </c>
    </row>
    <row r="23" spans="1:5" x14ac:dyDescent="0.25">
      <c r="A23" s="36" t="s">
        <v>411</v>
      </c>
      <c r="B23" s="36"/>
      <c r="C23" s="36"/>
      <c r="D23" s="36"/>
      <c r="E23" s="6">
        <v>-3</v>
      </c>
    </row>
    <row r="24" spans="1:5" s="36" customFormat="1" x14ac:dyDescent="0.25">
      <c r="E24" s="6"/>
    </row>
    <row r="25" spans="1:5" x14ac:dyDescent="0.25">
      <c r="A25" s="36" t="s">
        <v>18</v>
      </c>
      <c r="B25" s="2" t="s">
        <v>19</v>
      </c>
      <c r="C25" s="154">
        <f>E23/E19</f>
        <v>-14.285714285714286</v>
      </c>
    </row>
    <row r="26" spans="1:5" x14ac:dyDescent="0.25">
      <c r="A26" s="36"/>
      <c r="B26" s="2" t="s">
        <v>22</v>
      </c>
      <c r="C26" s="154">
        <f>E22/E21/E19</f>
        <v>45.207956600361662</v>
      </c>
      <c r="D26" t="s">
        <v>412</v>
      </c>
    </row>
    <row r="27" spans="1:5" x14ac:dyDescent="0.25">
      <c r="A27" s="1" t="s">
        <v>413</v>
      </c>
      <c r="B27" s="2" t="s">
        <v>22</v>
      </c>
      <c r="C27" s="154">
        <f>C28/0.6</f>
        <v>12.557765722322685</v>
      </c>
      <c r="D27" t="s">
        <v>459</v>
      </c>
    </row>
    <row r="28" spans="1:5" x14ac:dyDescent="0.25">
      <c r="A28" s="36"/>
      <c r="B28" s="2" t="s">
        <v>20</v>
      </c>
      <c r="C28" s="29">
        <f>E20/E21/E19</f>
        <v>7.5346594333936112</v>
      </c>
    </row>
    <row r="29" spans="1:5" x14ac:dyDescent="0.25">
      <c r="A29" s="36"/>
      <c r="B29" s="2" t="s">
        <v>55</v>
      </c>
      <c r="C29" s="6">
        <f>E20/E22</f>
        <v>0.16666666666666666</v>
      </c>
    </row>
    <row r="31" spans="1:5" x14ac:dyDescent="0.25">
      <c r="A31" t="s">
        <v>415</v>
      </c>
    </row>
    <row r="32" spans="1:5" x14ac:dyDescent="0.25">
      <c r="A32" t="s">
        <v>418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0"/>
  <sheetViews>
    <sheetView topLeftCell="A58" workbookViewId="0">
      <selection activeCell="L68" sqref="L68"/>
    </sheetView>
  </sheetViews>
  <sheetFormatPr baseColWidth="10" defaultRowHeight="15" x14ac:dyDescent="0.25"/>
  <sheetData>
    <row r="1" spans="1:1" x14ac:dyDescent="0.25">
      <c r="A1" t="s">
        <v>344</v>
      </c>
    </row>
    <row r="2" spans="1:1" x14ac:dyDescent="0.25">
      <c r="A2" t="s">
        <v>345</v>
      </c>
    </row>
    <row r="3" spans="1:1" s="36" customFormat="1" x14ac:dyDescent="0.25">
      <c r="A3" s="36" t="s">
        <v>353</v>
      </c>
    </row>
    <row r="4" spans="1:1" s="36" customFormat="1" x14ac:dyDescent="0.25">
      <c r="A4" s="36" t="s">
        <v>355</v>
      </c>
    </row>
    <row r="5" spans="1:1" x14ac:dyDescent="0.25">
      <c r="A5" t="s">
        <v>350</v>
      </c>
    </row>
    <row r="6" spans="1:1" s="36" customFormat="1" x14ac:dyDescent="0.25">
      <c r="A6" s="36" t="s">
        <v>354</v>
      </c>
    </row>
    <row r="7" spans="1:1" x14ac:dyDescent="0.25">
      <c r="A7" t="s">
        <v>346</v>
      </c>
    </row>
    <row r="9" spans="1:1" ht="17.25" x14ac:dyDescent="0.25">
      <c r="A9" t="s">
        <v>347</v>
      </c>
    </row>
    <row r="11" spans="1:1" x14ac:dyDescent="0.25">
      <c r="A11" t="s">
        <v>380</v>
      </c>
    </row>
    <row r="12" spans="1:1" s="36" customFormat="1" x14ac:dyDescent="0.25">
      <c r="A12" s="36" t="s">
        <v>384</v>
      </c>
    </row>
    <row r="13" spans="1:1" s="36" customFormat="1" ht="17.25" x14ac:dyDescent="0.25">
      <c r="A13" s="36" t="s">
        <v>383</v>
      </c>
    </row>
    <row r="14" spans="1:1" x14ac:dyDescent="0.25">
      <c r="A14" t="s">
        <v>348</v>
      </c>
    </row>
    <row r="15" spans="1:1" ht="17.25" x14ac:dyDescent="0.25">
      <c r="A15" t="s">
        <v>351</v>
      </c>
    </row>
    <row r="16" spans="1:1" x14ac:dyDescent="0.25">
      <c r="A16" t="s">
        <v>381</v>
      </c>
    </row>
    <row r="17" spans="1:6" ht="17.25" x14ac:dyDescent="0.25">
      <c r="A17" t="s">
        <v>352</v>
      </c>
    </row>
    <row r="18" spans="1:6" x14ac:dyDescent="0.25">
      <c r="A18" t="s">
        <v>365</v>
      </c>
    </row>
    <row r="19" spans="1:6" x14ac:dyDescent="0.25">
      <c r="A19" t="s">
        <v>366</v>
      </c>
    </row>
    <row r="20" spans="1:6" x14ac:dyDescent="0.25">
      <c r="A20" t="s">
        <v>349</v>
      </c>
    </row>
    <row r="21" spans="1:6" s="36" customFormat="1" ht="15.75" thickBot="1" x14ac:dyDescent="0.3"/>
    <row r="22" spans="1:6" ht="15.75" thickBot="1" x14ac:dyDescent="0.3">
      <c r="A22" s="213" t="s">
        <v>367</v>
      </c>
      <c r="B22" s="214"/>
    </row>
    <row r="24" spans="1:6" x14ac:dyDescent="0.25">
      <c r="A24" t="s">
        <v>382</v>
      </c>
      <c r="E24" s="159" t="s">
        <v>12</v>
      </c>
      <c r="F24" s="160" t="s">
        <v>13</v>
      </c>
    </row>
    <row r="25" spans="1:6" s="36" customFormat="1" x14ac:dyDescent="0.25">
      <c r="E25" s="16">
        <v>2</v>
      </c>
      <c r="F25" s="165">
        <v>-11</v>
      </c>
    </row>
    <row r="26" spans="1:6" s="36" customFormat="1" x14ac:dyDescent="0.25">
      <c r="E26" s="16">
        <v>42</v>
      </c>
      <c r="F26" s="165">
        <v>-11</v>
      </c>
    </row>
    <row r="27" spans="1:6" s="36" customFormat="1" x14ac:dyDescent="0.25">
      <c r="E27" s="16">
        <v>2</v>
      </c>
      <c r="F27" s="165">
        <v>-18</v>
      </c>
    </row>
    <row r="28" spans="1:6" s="36" customFormat="1" x14ac:dyDescent="0.25">
      <c r="E28" s="18">
        <v>42</v>
      </c>
      <c r="F28" s="166">
        <v>-18</v>
      </c>
    </row>
    <row r="29" spans="1:6" s="36" customFormat="1" x14ac:dyDescent="0.25"/>
    <row r="30" spans="1:6" s="36" customFormat="1" x14ac:dyDescent="0.25">
      <c r="A30" s="9" t="s">
        <v>387</v>
      </c>
      <c r="B30" s="9"/>
      <c r="C30" s="9"/>
      <c r="D30" s="9"/>
      <c r="E30" s="9"/>
    </row>
    <row r="31" spans="1:6" s="36" customFormat="1" x14ac:dyDescent="0.25">
      <c r="A31" s="9" t="s">
        <v>388</v>
      </c>
      <c r="B31" s="9"/>
      <c r="C31" s="9"/>
      <c r="D31" s="9"/>
      <c r="E31" s="9"/>
    </row>
    <row r="33" spans="1:2" x14ac:dyDescent="0.25">
      <c r="A33" t="s">
        <v>368</v>
      </c>
    </row>
    <row r="34" spans="1:2" ht="17.25" x14ac:dyDescent="0.25">
      <c r="A34" s="36" t="s">
        <v>356</v>
      </c>
    </row>
    <row r="35" spans="1:2" x14ac:dyDescent="0.25">
      <c r="A35" t="s">
        <v>357</v>
      </c>
    </row>
    <row r="36" spans="1:2" x14ac:dyDescent="0.25">
      <c r="A36" t="s">
        <v>358</v>
      </c>
    </row>
    <row r="37" spans="1:2" ht="17.25" x14ac:dyDescent="0.25">
      <c r="A37" s="36" t="s">
        <v>359</v>
      </c>
    </row>
    <row r="38" spans="1:2" ht="17.25" x14ac:dyDescent="0.25">
      <c r="A38" t="s">
        <v>360</v>
      </c>
    </row>
    <row r="39" spans="1:2" ht="17.25" x14ac:dyDescent="0.25">
      <c r="A39" t="s">
        <v>361</v>
      </c>
    </row>
    <row r="40" spans="1:2" ht="17.25" x14ac:dyDescent="0.25">
      <c r="A40" s="36" t="s">
        <v>362</v>
      </c>
    </row>
    <row r="41" spans="1:2" x14ac:dyDescent="0.25">
      <c r="A41" t="s">
        <v>363</v>
      </c>
    </row>
    <row r="42" spans="1:2" x14ac:dyDescent="0.25">
      <c r="A42" t="s">
        <v>364</v>
      </c>
    </row>
    <row r="45" spans="1:2" x14ac:dyDescent="0.25">
      <c r="A45" s="147" t="s">
        <v>12</v>
      </c>
      <c r="B45" s="147" t="s">
        <v>13</v>
      </c>
    </row>
    <row r="46" spans="1:2" x14ac:dyDescent="0.25">
      <c r="A46" s="147">
        <v>2</v>
      </c>
      <c r="B46" s="149">
        <f>-1.6*SQRT(11*A46)</f>
        <v>-7.5046652157174876</v>
      </c>
    </row>
    <row r="47" spans="1:2" x14ac:dyDescent="0.25">
      <c r="A47" s="147">
        <v>5</v>
      </c>
      <c r="B47" s="149">
        <f t="shared" ref="B47:B54" si="0">-1.6*SQRT(11*A47)</f>
        <v>-11.865917579353061</v>
      </c>
    </row>
    <row r="48" spans="1:2" x14ac:dyDescent="0.25">
      <c r="A48" s="147">
        <v>10</v>
      </c>
      <c r="B48" s="149">
        <f t="shared" si="0"/>
        <v>-16.780941570722426</v>
      </c>
    </row>
    <row r="49" spans="1:2" x14ac:dyDescent="0.25">
      <c r="A49" s="147">
        <v>15</v>
      </c>
      <c r="B49" s="149">
        <f t="shared" si="0"/>
        <v>-20.55237212586421</v>
      </c>
    </row>
    <row r="50" spans="1:2" x14ac:dyDescent="0.25">
      <c r="A50" s="147">
        <v>20</v>
      </c>
      <c r="B50" s="149">
        <f t="shared" si="0"/>
        <v>-23.731835158706122</v>
      </c>
    </row>
    <row r="51" spans="1:2" x14ac:dyDescent="0.25">
      <c r="A51" s="147">
        <v>25</v>
      </c>
      <c r="B51" s="149">
        <f t="shared" si="0"/>
        <v>-26.532998322843202</v>
      </c>
    </row>
    <row r="52" spans="1:2" x14ac:dyDescent="0.25">
      <c r="A52" s="147">
        <v>30</v>
      </c>
      <c r="B52" s="149">
        <f t="shared" si="0"/>
        <v>-29.065443399335919</v>
      </c>
    </row>
    <row r="53" spans="1:2" x14ac:dyDescent="0.25">
      <c r="A53" s="147">
        <v>35</v>
      </c>
      <c r="B53" s="149">
        <f t="shared" si="0"/>
        <v>-31.394266992557732</v>
      </c>
    </row>
    <row r="54" spans="1:2" x14ac:dyDescent="0.25">
      <c r="A54" s="147">
        <v>40</v>
      </c>
      <c r="B54" s="149">
        <f t="shared" si="0"/>
        <v>-33.561883141444852</v>
      </c>
    </row>
    <row r="64" spans="1:2" x14ac:dyDescent="0.25">
      <c r="A64" t="s">
        <v>369</v>
      </c>
    </row>
    <row r="65" spans="1:8" x14ac:dyDescent="0.25">
      <c r="A65" t="s">
        <v>370</v>
      </c>
    </row>
    <row r="67" spans="1:8" x14ac:dyDescent="0.25">
      <c r="A67" t="s">
        <v>495</v>
      </c>
    </row>
    <row r="68" spans="1:8" x14ac:dyDescent="0.25">
      <c r="A68" t="s">
        <v>496</v>
      </c>
    </row>
    <row r="70" spans="1:8" s="36" customFormat="1" ht="239.25" customHeight="1" x14ac:dyDescent="0.25">
      <c r="A70" s="206" t="s">
        <v>471</v>
      </c>
      <c r="B70" s="206"/>
      <c r="C70" s="206"/>
      <c r="D70" s="206"/>
      <c r="E70" s="206"/>
      <c r="F70" s="206"/>
      <c r="G70" s="206"/>
      <c r="H70" s="206"/>
    </row>
  </sheetData>
  <mergeCells count="2">
    <mergeCell ref="A22:B22"/>
    <mergeCell ref="A70:H70"/>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Recap</vt:lpstr>
      <vt:lpstr>Vidal</vt:lpstr>
      <vt:lpstr>Foster</vt:lpstr>
      <vt:lpstr>Ahrens</vt:lpstr>
      <vt:lpstr>Burcharth</vt:lpstr>
      <vt:lpstr>Thapsus</vt:lpstr>
      <vt:lpstr>Ota</vt:lpstr>
      <vt:lpstr>RasLaffan</vt:lpstr>
      <vt:lpstr>Near-bed</vt:lpstr>
      <vt:lpstr>Allsop</vt:lpstr>
      <vt:lpstr>Goda</vt:lpstr>
      <vt:lpstr>AdG</vt:lpstr>
      <vt:lpstr>Model tests</vt:lpstr>
      <vt:lpstr>Formes</vt:lpstr>
    </vt:vector>
  </TitlesOfParts>
  <Company>Sogreah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admininf</dc:creator>
  <cp:lastModifiedBy>DE GRAAUW Arthur</cp:lastModifiedBy>
  <cp:lastPrinted>2013-11-12T18:03:14Z</cp:lastPrinted>
  <dcterms:created xsi:type="dcterms:W3CDTF">2013-07-10T16:20:16Z</dcterms:created>
  <dcterms:modified xsi:type="dcterms:W3CDTF">2014-06-06T15:14:40Z</dcterms:modified>
</cp:coreProperties>
</file>