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9" documentId="8_{618A52D0-2E89-4E57-9660-014F7C2A994F}" xr6:coauthVersionLast="45" xr6:coauthVersionMax="45" xr10:uidLastSave="{CC341419-9ADE-4E8E-AC1A-39A9873ED4E3}"/>
  <bookViews>
    <workbookView xWindow="5895" yWindow="1695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<sst xmlns="http://schemas.openxmlformats.org/spreadsheetml/2006/main" count="809" uniqueCount="147">
  <si>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</si>
  <si>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</si>
  <si>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</si>
  <si>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</si>
  <si>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</si>
  <si>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</si>
  <si>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</si>
  <si>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</si>
  <si>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</si>
  <si>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</si>
  <si>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</si>
  <si>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</si>
  <si>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</si>
  <si>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</si>
  <si>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</si>
  <si>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</si>
  <si>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</si>
  <si>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</si>
  <si>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</si>
  <si>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</si>
  <si>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</si>
  <si>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</si>
  <si>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</si>
  <si>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</si>
  <si>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</si>
  <si>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</si>
  <si>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</si>
  <si>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</si>
  <si>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</si>
  <si>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</si>
  <si>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</si>
  <si>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</si>
  <si>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</si>
  <si>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</si>
  <si>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</si>
  <si>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</si>
  <si>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</si>
  <si>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</si>
  <si>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</si>
  <si>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</si>
  <si>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</si>
  <si>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</si>
  <si>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</si>
  <si>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</si>
  <si>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</si>
  <si>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</si>
  <si>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</si>
  <si>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</si>
  <si>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</si>
  <si>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</si>
  <si>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</si>
  <si>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</si>
  <si>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</si>
  <si>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</si>
  <si>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</si>
  <si>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</si>
  <si>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</si>
  <si>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</si>
  <si>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</si>
  <si>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</si>
  <si>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</si>
  <si>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</si>
  <si>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</si>
  <si>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</si>
  <si>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</si>
  <si>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</si>
  <si>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</si>
  <si>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</si>
  <si>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</si>
  <si>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</si>
  <si>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</si>
  <si>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</si>
  <si>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</si>
  <si>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</si>
  <si>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</si>
  <si>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</si>
  <si>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</si>
  <si>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</si>
  <si>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</si>
  <si>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</si>
  <si>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</si>
  <si>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</si>
  <si>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</si>
  <si>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</si>
  <si>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</si>
  <si>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</si>
  <si>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</si>
  <si>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</si>
  <si>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</si>
  <si>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</si>
  <si>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</si>
  <si>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</si>
  <si>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</si>
  <si>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</si>
  <si>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</si>
  <si>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</si>
  <si>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</si>
  <si>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</si>
  <si>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</si>
  <si>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</si>
  <si>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</si>
  <si>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</si>
  <si>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</si>
  <si>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</si>
  <si>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</si>
  <si>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</si>
  <si>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</si>
  <si>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</si>
  <si>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</si>
  <si>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</si>
  <si>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</si>
  <si>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</si>
  <si>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</si>
  <si>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</si>
  <si>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</si>
  <si>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</si>
  <si>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</si>
  <si>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</si>
  <si>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</si>
  <si>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</si>
  <si>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</si>
  <si>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</si>
  <si>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</si>
  <si>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</si>
  <si>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</si>
  <si>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</si>
  <si>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</si>
  <si>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</si>
  <si>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</si>
  <si>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</si>
  <si>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</si>
  <si>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</si>
  <si>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</si>
  <si>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</si>
  <si>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</si>
  <si>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</si>
  <si>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</si>
  <si>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</si>
  <si>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</si>
  <si>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near Cape Skyllaion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</si>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</sst>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Patara</v>
      </c>
      <c r="C3" s="22">
        <f>Segment2!$A$4</f>
        <v>0</v>
      </c>
      <c r="D3" s="22">
        <f>Segment3!$A$4</f>
        <v>0</v>
      </c>
      <c r="E3" s="22" t="str">
        <f>B3</f>
        <v>Patara</v>
      </c>
    </row>
    <row r="4" spans="1:5" x14ac:dyDescent="0.25">
      <c r="A4" s="68" t="s">
        <v>25</v>
      </c>
      <c r="B4" s="22" t="str">
        <f>Segment1!$D$4</f>
        <v>Seleucia Pieria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320.54130148975202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3630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3631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3632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3633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3634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3635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3635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3635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3635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3635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3635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3635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3635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3635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3635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3635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3635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3635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3635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3635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325.29109321099901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325.29109321099901</v>
      </c>
    </row>
    <row r="28" spans="1:5" x14ac:dyDescent="0.25">
      <c r="A28" s="68" t="s">
        <v>94</v>
      </c>
      <c r="B28" s="78">
        <f>Segment1!$E$20</f>
        <v>64.975647258853087</v>
      </c>
      <c r="C28" s="78">
        <f>IFERROR(Segment2!$E$20,0)</f>
        <v>0</v>
      </c>
      <c r="D28" s="78">
        <f>IFERROR(Segment3!$E$20,0)</f>
        <v>0</v>
      </c>
      <c r="E28" s="78">
        <f t="shared" si="0"/>
        <v>64.975647258853087</v>
      </c>
    </row>
    <row r="29" spans="1:5" x14ac:dyDescent="0.25">
      <c r="A29" s="68" t="s">
        <v>97</v>
      </c>
      <c r="B29" s="59">
        <f>Segment1!$E$21</f>
        <v>5.0063540254564733</v>
      </c>
      <c r="C29" s="59">
        <f>IFERROR(Segment2!$E$21,0)</f>
        <v>0</v>
      </c>
      <c r="D29" s="59">
        <f>IFERROR(Segment3!$E$21,0)</f>
        <v>0</v>
      </c>
      <c r="E29" s="59">
        <f>E27/E28</f>
        <v>5.0063540254564733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46</v>
      </c>
      <c r="B4" s="19">
        <f>VLOOKUP(A4,Harbours!A4:D117,3,FALSE)</f>
        <v>36.263606000000003</v>
      </c>
      <c r="C4" s="19">
        <f>VLOOKUP(A4,Harbours!A4:D117,4,FALSE)</f>
        <v>29.308129999999998</v>
      </c>
      <c r="D4" s="23" t="s">
        <v>37</v>
      </c>
      <c r="E4" s="19">
        <f>VLOOKUP(D4,Harbours!A4:D117,3,FALSE)</f>
        <v>36.119233000000001</v>
      </c>
      <c r="F4" s="19">
        <f>VLOOKUP(D4,Harbours!A4:D117,4,FALSE)</f>
        <v>35.922154999999997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3630</v>
      </c>
      <c r="B6" s="65"/>
      <c r="C6" s="21"/>
      <c r="E6" s="21"/>
      <c r="F6" s="21"/>
    </row>
    <row r="7" spans="1:10" x14ac:dyDescent="0.25">
      <c r="A7" s="3">
        <v>3631</v>
      </c>
      <c r="B7" s="65"/>
      <c r="C7" s="59" t="s">
        <v>119</v>
      </c>
      <c r="H7" s="25" t="s">
        <v>63</v>
      </c>
    </row>
    <row r="8" spans="1:10" x14ac:dyDescent="0.25">
      <c r="A8" s="3">
        <v>3632</v>
      </c>
      <c r="B8" s="65"/>
      <c r="C8" s="59" t="s">
        <v>120</v>
      </c>
      <c r="H8" s="25" t="s">
        <v>64</v>
      </c>
    </row>
    <row r="9" spans="1:10" x14ac:dyDescent="0.25">
      <c r="A9" s="3">
        <v>3633</v>
      </c>
      <c r="B9" s="65"/>
      <c r="C9" s="59" t="s">
        <v>95</v>
      </c>
      <c r="H9" s="25" t="s">
        <v>65</v>
      </c>
    </row>
    <row r="10" spans="1:10" x14ac:dyDescent="0.25">
      <c r="A10" s="3">
        <v>3634</v>
      </c>
      <c r="B10" s="65"/>
      <c r="C10" s="21"/>
      <c r="H10" s="25" t="s">
        <v>69</v>
      </c>
    </row>
    <row r="11" spans="1:10" x14ac:dyDescent="0.25">
      <c r="A11" s="3">
        <v>3635</v>
      </c>
      <c r="B11" s="75"/>
      <c r="H11" s="25"/>
    </row>
    <row r="12" spans="1:10" x14ac:dyDescent="0.25">
      <c r="A12" s="3">
        <v>3635</v>
      </c>
      <c r="B12" s="20"/>
    </row>
    <row r="13" spans="1:10" ht="15.75" thickBot="1" x14ac:dyDescent="0.3">
      <c r="A13" s="3">
        <v>3635</v>
      </c>
      <c r="B13" s="20"/>
      <c r="C13" s="22" t="s">
        <v>83</v>
      </c>
      <c r="D13" s="21"/>
      <c r="E13" s="21"/>
    </row>
    <row r="14" spans="1:10" x14ac:dyDescent="0.25">
      <c r="A14" s="3">
        <v>3635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320.54130148975202</v>
      </c>
      <c r="G14" s="52" t="s">
        <v>70</v>
      </c>
      <c r="H14" s="25" t="s">
        <v>86</v>
      </c>
      <c r="I14" s="51">
        <f>(E4-B4)/COS(RADIANS(I15))*60</f>
        <v>-396.93603130670215</v>
      </c>
      <c r="J14" s="25" t="s">
        <v>84</v>
      </c>
    </row>
    <row r="15" spans="1:10" ht="15.75" thickBot="1" x14ac:dyDescent="0.3">
      <c r="A15" s="3">
        <v>3635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89.593429906858049</v>
      </c>
      <c r="G15" s="52" t="s">
        <v>70</v>
      </c>
      <c r="H15" s="25" t="s">
        <v>86</v>
      </c>
      <c r="I15" s="51">
        <f>DEGREES(MOD(ATAN((F4-C4)/(E4-B4)),2*PI()))</f>
        <v>271.25047155944418</v>
      </c>
      <c r="J15" s="25" t="s">
        <v>85</v>
      </c>
    </row>
    <row r="16" spans="1:10" x14ac:dyDescent="0.25">
      <c r="A16" s="3">
        <v>3635</v>
      </c>
      <c r="B16" s="20"/>
      <c r="C16" s="22"/>
      <c r="D16" s="21"/>
      <c r="E16" s="21"/>
      <c r="H16" s="25"/>
    </row>
    <row r="17" spans="1:8" x14ac:dyDescent="0.25">
      <c r="A17" s="3">
        <v>3635</v>
      </c>
      <c r="B17" s="20"/>
      <c r="C17" s="22"/>
      <c r="D17" s="24"/>
      <c r="H17" s="25"/>
    </row>
    <row r="18" spans="1:8" ht="15.75" thickBot="1" x14ac:dyDescent="0.3">
      <c r="A18" s="3">
        <v>3635</v>
      </c>
      <c r="B18" s="20"/>
      <c r="C18" s="22" t="s">
        <v>90</v>
      </c>
      <c r="D18" s="3"/>
      <c r="H18" s="25"/>
    </row>
    <row r="19" spans="1:8" x14ac:dyDescent="0.25">
      <c r="A19" s="3">
        <v>3635</v>
      </c>
      <c r="B19" s="20"/>
      <c r="C19" s="26" t="s">
        <v>62</v>
      </c>
      <c r="D19" s="27"/>
      <c r="E19" s="28">
        <f>E72</f>
        <v>325.29109321099901</v>
      </c>
      <c r="H19" s="25"/>
    </row>
    <row r="20" spans="1:8" x14ac:dyDescent="0.25">
      <c r="A20" s="3">
        <v>3635</v>
      </c>
      <c r="B20" s="20"/>
      <c r="C20" s="70" t="s">
        <v>89</v>
      </c>
      <c r="D20" s="32"/>
      <c r="E20" s="71">
        <f>H72</f>
        <v>64.975647258853087</v>
      </c>
      <c r="H20" s="25"/>
    </row>
    <row r="21" spans="1:8" ht="15.75" thickBot="1" x14ac:dyDescent="0.3">
      <c r="A21" s="3">
        <v>3635</v>
      </c>
      <c r="B21" s="20"/>
      <c r="C21" s="72" t="s">
        <v>96</v>
      </c>
      <c r="D21" s="73"/>
      <c r="E21" s="74">
        <f>E19/E20</f>
        <v>5.0063540254564733</v>
      </c>
      <c r="H21" s="25"/>
    </row>
    <row r="22" spans="1:8" x14ac:dyDescent="0.25">
      <c r="A22" s="3">
        <v>3635</v>
      </c>
      <c r="B22" s="20"/>
      <c r="H22" s="25"/>
    </row>
    <row r="23" spans="1:8" x14ac:dyDescent="0.25">
      <c r="A23" s="3">
        <v>3635</v>
      </c>
      <c r="B23" s="20"/>
      <c r="H23" s="25"/>
    </row>
    <row r="24" spans="1:8" x14ac:dyDescent="0.25">
      <c r="A24" s="3">
        <v>3635</v>
      </c>
      <c r="B24" s="20"/>
      <c r="H24" s="25"/>
    </row>
    <row r="25" spans="1:8" x14ac:dyDescent="0.25">
      <c r="A25" s="3">
        <v>3635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36.263606000000003</v>
      </c>
      <c r="C29" s="50">
        <f>C4</f>
        <v>29.308129999999998</v>
      </c>
      <c r="D29" s="49">
        <f>D30</f>
        <v>115.05075835735411</v>
      </c>
      <c r="E29" s="48"/>
      <c r="F29" s="48">
        <f>F30</f>
        <v>36304</v>
      </c>
      <c r="G29" s="48"/>
      <c r="H29" s="48"/>
    </row>
    <row r="30" spans="1:8" s="3" customFormat="1" x14ac:dyDescent="0.25">
      <c r="A30" s="47">
        <f>A6</f>
        <v>3630</v>
      </c>
      <c r="B30" s="37">
        <f>INT(A30/100)</f>
        <v>36</v>
      </c>
      <c r="C30" s="37">
        <f>A30-B30*100</f>
        <v>30</v>
      </c>
      <c r="D30" s="41">
        <f>IFERROR(DEGREES(MOD(ATAN2(COS(RADIANS(B29))*SIN(RADIANS(B30))-SIN(RADIANS(B29))*COS(RADIANS(B30))*COS(RADIANS(C30-C29)),SIN(RADIANS(C30-C29))*COS(RADIANS(B30))),2*PI())),"")</f>
        <v>115.05075835735411</v>
      </c>
      <c r="E30" s="41">
        <f>ACOS(SIN(RADIANS(B29))*SIN(RADIANS(B30))+COS(RADIANS(B29))*COS(RADIANS(B30))*COS((RADIANS(C30-C29))))*6371/1.852</f>
        <v>37.096069889272215</v>
      </c>
      <c r="F30" s="37">
        <f>A30*10+$C$2</f>
        <v>36304</v>
      </c>
      <c r="G30" s="42">
        <f>IFERROR(Interpol1!C4,"")</f>
        <v>4.4499544672235327</v>
      </c>
      <c r="H30" s="41">
        <f>IFERROR(E30/G30,"")</f>
        <v>8.3362807782654968</v>
      </c>
    </row>
    <row r="31" spans="1:8" s="3" customFormat="1" x14ac:dyDescent="0.25">
      <c r="A31" s="45">
        <f>A30</f>
        <v>3630</v>
      </c>
      <c r="B31" s="43">
        <f t="shared" ref="B31:B60" si="0">INT(A31/100)</f>
        <v>36</v>
      </c>
      <c r="C31" s="43">
        <f t="shared" ref="C31:C60" si="1">A31-B31*100</f>
        <v>30</v>
      </c>
      <c r="D31" s="46">
        <f>D32</f>
        <v>89.706102490886252</v>
      </c>
      <c r="E31" s="46">
        <f>E32</f>
        <v>24.286768590095466</v>
      </c>
      <c r="F31" s="43">
        <f t="shared" ref="F31:F60" si="2">A31*10+$C$2</f>
        <v>36304</v>
      </c>
      <c r="G31" s="44">
        <f>IFERROR(Interpol1!C5,"")</f>
        <v>4.3117829105942986</v>
      </c>
      <c r="H31" s="46">
        <f t="shared" ref="H31:H32" si="3">IFERROR(E31/G31,"")</f>
        <v>5.6326510619125738</v>
      </c>
    </row>
    <row r="32" spans="1:8" s="3" customFormat="1" x14ac:dyDescent="0.25">
      <c r="A32" s="47">
        <f>A7</f>
        <v>3631</v>
      </c>
      <c r="B32" s="37">
        <f t="shared" si="0"/>
        <v>36</v>
      </c>
      <c r="C32" s="37">
        <f t="shared" si="1"/>
        <v>31</v>
      </c>
      <c r="D32" s="41">
        <f>IFERROR(DEGREES(MOD(ATAN2(COS(RADIANS(B31))*SIN(RADIANS(B32))-SIN(RADIANS(B31))*COS(RADIANS(B32))*COS(RADIANS(C32-C31)),SIN(RADIANS(C32-C31))*COS(RADIANS(B32))),2*PI())),"")</f>
        <v>89.706102490886252</v>
      </c>
      <c r="E32" s="41">
        <f>ACOS(SIN(RADIANS(B31))*SIN(RADIANS(B32))+COS(RADIANS(B31))*COS(RADIANS(B32))*COS((RADIANS(C32-C31))))*6371/1.852/2</f>
        <v>24.286768590095466</v>
      </c>
      <c r="F32" s="37">
        <f t="shared" si="2"/>
        <v>36314</v>
      </c>
      <c r="G32" s="42">
        <f>IFERROR(Interpol1!C6,"")</f>
        <v>4.1436641950733044</v>
      </c>
      <c r="H32" s="41">
        <f t="shared" si="3"/>
        <v>5.861181661142262</v>
      </c>
    </row>
    <row r="33" spans="1:8" s="3" customFormat="1" x14ac:dyDescent="0.25">
      <c r="A33" s="45">
        <f>A32</f>
        <v>3631</v>
      </c>
      <c r="B33" s="43">
        <f t="shared" si="0"/>
        <v>36</v>
      </c>
      <c r="C33" s="43">
        <f t="shared" si="1"/>
        <v>31</v>
      </c>
      <c r="D33" s="46">
        <f>D34</f>
        <v>89.706102490886252</v>
      </c>
      <c r="E33" s="46">
        <f>E34</f>
        <v>24.286768590095466</v>
      </c>
      <c r="F33" s="43">
        <f t="shared" si="2"/>
        <v>36314</v>
      </c>
      <c r="G33" s="44">
        <f>IFERROR(Interpol1!C7,"")</f>
        <v>4.1436641950733044</v>
      </c>
      <c r="H33" s="46">
        <f t="shared" ref="H33:H70" si="4">IFERROR(E33/G33,"")</f>
        <v>5.861181661142262</v>
      </c>
    </row>
    <row r="34" spans="1:8" s="3" customFormat="1" x14ac:dyDescent="0.25">
      <c r="A34" s="47">
        <f>A8</f>
        <v>3632</v>
      </c>
      <c r="B34" s="37">
        <f t="shared" si="0"/>
        <v>36</v>
      </c>
      <c r="C34" s="37">
        <f t="shared" si="1"/>
        <v>32</v>
      </c>
      <c r="D34" s="41">
        <f>IFERROR(DEGREES(MOD(ATAN2(COS(RADIANS(B33))*SIN(RADIANS(B34))-SIN(RADIANS(B33))*COS(RADIANS(B34))*COS(RADIANS(C34-C33)),SIN(RADIANS(C34-C33))*COS(RADIANS(B34))),2*PI())),"")</f>
        <v>89.706102490886252</v>
      </c>
      <c r="E34" s="41">
        <f>ACOS(SIN(RADIANS(B33))*SIN(RADIANS(B34))+COS(RADIANS(B33))*COS(RADIANS(B34))*COS((RADIANS(C34-C33))))*6371/1.852/2</f>
        <v>24.286768590095466</v>
      </c>
      <c r="F34" s="37">
        <f t="shared" si="2"/>
        <v>36324</v>
      </c>
      <c r="G34" s="42">
        <f>IFERROR(Interpol1!C8,"")</f>
        <v>3.9485418941202886</v>
      </c>
      <c r="H34" s="41">
        <f t="shared" si="4"/>
        <v>6.1508195281555729</v>
      </c>
    </row>
    <row r="35" spans="1:8" s="3" customFormat="1" x14ac:dyDescent="0.25">
      <c r="A35" s="45">
        <f>A34</f>
        <v>3632</v>
      </c>
      <c r="B35" s="43">
        <f t="shared" si="0"/>
        <v>36</v>
      </c>
      <c r="C35" s="43">
        <f t="shared" si="1"/>
        <v>32</v>
      </c>
      <c r="D35" s="46">
        <f>D36</f>
        <v>89.706102490886252</v>
      </c>
      <c r="E35" s="46">
        <f>E36</f>
        <v>24.286768590095466</v>
      </c>
      <c r="F35" s="43">
        <f t="shared" si="2"/>
        <v>36324</v>
      </c>
      <c r="G35" s="44">
        <f>IFERROR(Interpol1!C9,"")</f>
        <v>3.9485418941202886</v>
      </c>
      <c r="H35" s="46">
        <f t="shared" si="4"/>
        <v>6.1508195281555729</v>
      </c>
    </row>
    <row r="36" spans="1:8" s="3" customFormat="1" x14ac:dyDescent="0.25">
      <c r="A36" s="47">
        <f>A9</f>
        <v>3633</v>
      </c>
      <c r="B36" s="37">
        <f t="shared" si="0"/>
        <v>36</v>
      </c>
      <c r="C36" s="37">
        <f t="shared" si="1"/>
        <v>33</v>
      </c>
      <c r="D36" s="41">
        <f>IFERROR(DEGREES(MOD(ATAN2(COS(RADIANS(B35))*SIN(RADIANS(B36))-SIN(RADIANS(B35))*COS(RADIANS(B36))*COS(RADIANS(C36-C35)),SIN(RADIANS(C36-C35))*COS(RADIANS(B36))),2*PI())),"")</f>
        <v>89.706102490886252</v>
      </c>
      <c r="E36" s="41">
        <f>ACOS(SIN(RADIANS(B35))*SIN(RADIANS(B36))+COS(RADIANS(B35))*COS(RADIANS(B36))*COS((RADIANS(C36-C35))))*6371/1.852/2</f>
        <v>24.286768590095466</v>
      </c>
      <c r="F36" s="37">
        <f t="shared" si="2"/>
        <v>36334</v>
      </c>
      <c r="G36" s="42" t="str">
        <f>IFERROR(Interpol1!C10,"")</f>
        <v/>
      </c>
      <c r="H36" s="41" t="str">
        <f t="shared" si="4"/>
        <v/>
      </c>
    </row>
    <row r="37" spans="1:8" s="3" customFormat="1" x14ac:dyDescent="0.25">
      <c r="A37" s="45">
        <f>A36</f>
        <v>3633</v>
      </c>
      <c r="B37" s="43">
        <f t="shared" si="0"/>
        <v>36</v>
      </c>
      <c r="C37" s="43">
        <f t="shared" si="1"/>
        <v>33</v>
      </c>
      <c r="D37" s="46">
        <f>D38</f>
        <v>89.706102490886252</v>
      </c>
      <c r="E37" s="46">
        <f>E38</f>
        <v>24.286768590095466</v>
      </c>
      <c r="F37" s="43">
        <f t="shared" si="2"/>
        <v>36334</v>
      </c>
      <c r="G37" s="44" t="str">
        <f>IFERROR(Interpol1!C11,"")</f>
        <v/>
      </c>
      <c r="H37" s="46" t="str">
        <f t="shared" si="4"/>
        <v/>
      </c>
    </row>
    <row r="38" spans="1:8" s="3" customFormat="1" x14ac:dyDescent="0.25">
      <c r="A38" s="47">
        <f>A10</f>
        <v>3634</v>
      </c>
      <c r="B38" s="37">
        <f t="shared" si="0"/>
        <v>36</v>
      </c>
      <c r="C38" s="37">
        <f t="shared" si="1"/>
        <v>34</v>
      </c>
      <c r="D38" s="41">
        <f>IFERROR(DEGREES(MOD(ATAN2(COS(RADIANS(B37))*SIN(RADIANS(B38))-SIN(RADIANS(B37))*COS(RADIANS(B38))*COS(RADIANS(C38-C37)),SIN(RADIANS(C38-C37))*COS(RADIANS(B38))),2*PI())),"")</f>
        <v>89.706102490886252</v>
      </c>
      <c r="E38" s="41">
        <f>ACOS(SIN(RADIANS(B37))*SIN(RADIANS(B38))+COS(RADIANS(B37))*COS(RADIANS(B38))*COS((RADIANS(C38-C37))))*6371/1.852/2</f>
        <v>24.286768590095466</v>
      </c>
      <c r="F38" s="37">
        <f t="shared" si="2"/>
        <v>36344</v>
      </c>
      <c r="G38" s="42">
        <f>IFERROR(Interpol1!C12,"")</f>
        <v>4.2726831689488316</v>
      </c>
      <c r="H38" s="41">
        <f t="shared" si="4"/>
        <v>5.6841960027826062</v>
      </c>
    </row>
    <row r="39" spans="1:8" s="3" customFormat="1" x14ac:dyDescent="0.25">
      <c r="A39" s="45">
        <f>A38</f>
        <v>3634</v>
      </c>
      <c r="B39" s="43">
        <f t="shared" si="0"/>
        <v>36</v>
      </c>
      <c r="C39" s="43">
        <f t="shared" si="1"/>
        <v>34</v>
      </c>
      <c r="D39" s="46">
        <f>D40</f>
        <v>89.706102490886252</v>
      </c>
      <c r="E39" s="46">
        <f>E40</f>
        <v>24.286768590095466</v>
      </c>
      <c r="F39" s="43">
        <f t="shared" si="2"/>
        <v>36344</v>
      </c>
      <c r="G39" s="44">
        <f>IFERROR(Interpol1!C13,"")</f>
        <v>4.2726831689488316</v>
      </c>
      <c r="H39" s="46">
        <f t="shared" si="4"/>
        <v>5.6841960027826062</v>
      </c>
    </row>
    <row r="40" spans="1:8" s="3" customFormat="1" x14ac:dyDescent="0.25">
      <c r="A40" s="47">
        <f>A11</f>
        <v>3635</v>
      </c>
      <c r="B40" s="37">
        <f t="shared" ref="B40:B46" si="5">INT(A40/100)</f>
        <v>36</v>
      </c>
      <c r="C40" s="37">
        <f t="shared" ref="C40:C46" si="6">A40-B40*100</f>
        <v>35</v>
      </c>
      <c r="D40" s="41">
        <f>IFERROR(DEGREES(MOD(ATAN2(COS(RADIANS(B39))*SIN(RADIANS(B40))-SIN(RADIANS(B39))*COS(RADIANS(B40))*COS(RADIANS(C40-C39)),SIN(RADIANS(C40-C39))*COS(RADIANS(B40))),2*PI())),"")</f>
        <v>89.706102490886252</v>
      </c>
      <c r="E40" s="41">
        <f>ACOS(SIN(RADIANS(B39))*SIN(RADIANS(B40))+COS(RADIANS(B39))*COS(RADIANS(B40))*COS((RADIANS(C40-C39))))*6371/1.852/2</f>
        <v>24.286768590095466</v>
      </c>
      <c r="F40" s="37">
        <f t="shared" ref="F40:F46" si="7">A40*10+$C$2</f>
        <v>36354</v>
      </c>
      <c r="G40" s="42">
        <f>IFERROR(Interpol1!C14,"")</f>
        <v>4.4592549357152693</v>
      </c>
      <c r="H40" s="41">
        <f t="shared" si="4"/>
        <v>5.4463736521490986</v>
      </c>
    </row>
    <row r="41" spans="1:8" s="3" customFormat="1" x14ac:dyDescent="0.25">
      <c r="A41" s="45">
        <f>A40</f>
        <v>3635</v>
      </c>
      <c r="B41" s="43">
        <f t="shared" si="5"/>
        <v>36</v>
      </c>
      <c r="C41" s="43">
        <f t="shared" si="6"/>
        <v>35</v>
      </c>
      <c r="D41" s="46" t="str">
        <f>D42</f>
        <v/>
      </c>
      <c r="E41" s="46">
        <f>E42</f>
        <v>0</v>
      </c>
      <c r="F41" s="43">
        <f t="shared" si="7"/>
        <v>36354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3635</v>
      </c>
      <c r="B42" s="37">
        <f t="shared" si="5"/>
        <v>36</v>
      </c>
      <c r="C42" s="37">
        <f t="shared" si="6"/>
        <v>35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36354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3635</v>
      </c>
      <c r="B43" s="43">
        <f t="shared" si="5"/>
        <v>36</v>
      </c>
      <c r="C43" s="43">
        <f t="shared" si="6"/>
        <v>35</v>
      </c>
      <c r="D43" s="46" t="str">
        <f>D44</f>
        <v/>
      </c>
      <c r="E43" s="46">
        <f>E44</f>
        <v>0</v>
      </c>
      <c r="F43" s="43">
        <f t="shared" si="7"/>
        <v>36354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3635</v>
      </c>
      <c r="B44" s="37">
        <f t="shared" si="5"/>
        <v>36</v>
      </c>
      <c r="C44" s="37">
        <f t="shared" si="6"/>
        <v>35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36354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3635</v>
      </c>
      <c r="B45" s="43">
        <f t="shared" si="5"/>
        <v>36</v>
      </c>
      <c r="C45" s="43">
        <f t="shared" si="6"/>
        <v>35</v>
      </c>
      <c r="D45" s="46" t="str">
        <f>D46</f>
        <v/>
      </c>
      <c r="E45" s="46">
        <f>E46</f>
        <v>0</v>
      </c>
      <c r="F45" s="43">
        <f t="shared" si="7"/>
        <v>36354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3635</v>
      </c>
      <c r="B46" s="37">
        <f t="shared" si="5"/>
        <v>36</v>
      </c>
      <c r="C46" s="37">
        <f t="shared" si="6"/>
        <v>35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36354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3635</v>
      </c>
      <c r="B47" s="43">
        <f t="shared" si="0"/>
        <v>36</v>
      </c>
      <c r="C47" s="43">
        <f t="shared" si="1"/>
        <v>35</v>
      </c>
      <c r="D47" s="46" t="str">
        <f>D48</f>
        <v/>
      </c>
      <c r="E47" s="46">
        <f>E48</f>
        <v>0</v>
      </c>
      <c r="F47" s="43">
        <f t="shared" si="2"/>
        <v>36354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3635</v>
      </c>
      <c r="B48" s="37">
        <f t="shared" si="0"/>
        <v>36</v>
      </c>
      <c r="C48" s="37">
        <f t="shared" si="1"/>
        <v>35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36354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3635</v>
      </c>
      <c r="B49" s="43">
        <f t="shared" si="0"/>
        <v>36</v>
      </c>
      <c r="C49" s="43">
        <f t="shared" si="1"/>
        <v>35</v>
      </c>
      <c r="D49" s="46" t="str">
        <f>D50</f>
        <v/>
      </c>
      <c r="E49" s="46">
        <f>E50</f>
        <v>0</v>
      </c>
      <c r="F49" s="43">
        <f t="shared" si="2"/>
        <v>36354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3635</v>
      </c>
      <c r="B50" s="37">
        <f t="shared" si="0"/>
        <v>36</v>
      </c>
      <c r="C50" s="37">
        <f t="shared" si="1"/>
        <v>35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36354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3635</v>
      </c>
      <c r="B51" s="43">
        <f t="shared" si="0"/>
        <v>36</v>
      </c>
      <c r="C51" s="43">
        <f t="shared" si="1"/>
        <v>35</v>
      </c>
      <c r="D51" s="46" t="str">
        <f>D52</f>
        <v/>
      </c>
      <c r="E51" s="46">
        <f>E52</f>
        <v>0</v>
      </c>
      <c r="F51" s="43">
        <f t="shared" si="2"/>
        <v>36354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3635</v>
      </c>
      <c r="B52" s="37">
        <f t="shared" ref="B52:B53" si="8">INT(A52/100)</f>
        <v>36</v>
      </c>
      <c r="C52" s="37">
        <f t="shared" ref="C52:C53" si="9">A52-B52*100</f>
        <v>35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36354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3635</v>
      </c>
      <c r="B53" s="43">
        <f t="shared" si="8"/>
        <v>36</v>
      </c>
      <c r="C53" s="43">
        <f t="shared" si="9"/>
        <v>35</v>
      </c>
      <c r="D53" s="46" t="str">
        <f>D54</f>
        <v/>
      </c>
      <c r="E53" s="46">
        <f>E54</f>
        <v>0</v>
      </c>
      <c r="F53" s="43">
        <f t="shared" si="10"/>
        <v>36354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3635</v>
      </c>
      <c r="B54" s="37">
        <f t="shared" si="0"/>
        <v>36</v>
      </c>
      <c r="C54" s="37">
        <f t="shared" si="1"/>
        <v>35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36354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3635</v>
      </c>
      <c r="B55" s="43">
        <f t="shared" si="0"/>
        <v>36</v>
      </c>
      <c r="C55" s="43">
        <f t="shared" si="1"/>
        <v>35</v>
      </c>
      <c r="D55" s="46" t="str">
        <f>D56</f>
        <v/>
      </c>
      <c r="E55" s="46">
        <f>E56</f>
        <v>0</v>
      </c>
      <c r="F55" s="43">
        <f t="shared" si="2"/>
        <v>36354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3635</v>
      </c>
      <c r="B56" s="37">
        <f t="shared" si="0"/>
        <v>36</v>
      </c>
      <c r="C56" s="37">
        <f t="shared" si="1"/>
        <v>35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36354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3635</v>
      </c>
      <c r="B57" s="43">
        <f t="shared" si="0"/>
        <v>36</v>
      </c>
      <c r="C57" s="43">
        <f t="shared" si="1"/>
        <v>35</v>
      </c>
      <c r="D57" s="46" t="str">
        <f>D58</f>
        <v/>
      </c>
      <c r="E57" s="46">
        <f>E58</f>
        <v>0</v>
      </c>
      <c r="F57" s="43">
        <f t="shared" si="2"/>
        <v>36354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3635</v>
      </c>
      <c r="B58" s="37">
        <f t="shared" si="0"/>
        <v>36</v>
      </c>
      <c r="C58" s="37">
        <f t="shared" si="1"/>
        <v>35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36354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3635</v>
      </c>
      <c r="B59" s="43">
        <f t="shared" si="0"/>
        <v>36</v>
      </c>
      <c r="C59" s="43">
        <f t="shared" si="1"/>
        <v>35</v>
      </c>
      <c r="D59" s="46" t="str">
        <f>D60</f>
        <v/>
      </c>
      <c r="E59" s="46">
        <f>E60</f>
        <v>0</v>
      </c>
      <c r="F59" s="43">
        <f t="shared" si="2"/>
        <v>36354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3635</v>
      </c>
      <c r="B60" s="37">
        <f t="shared" si="0"/>
        <v>36</v>
      </c>
      <c r="C60" s="37">
        <f t="shared" si="1"/>
        <v>35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36354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3635</v>
      </c>
      <c r="B61" s="43">
        <f t="shared" ref="B61:B69" si="11">INT(A61/100)</f>
        <v>36</v>
      </c>
      <c r="C61" s="43">
        <f t="shared" ref="C61:C69" si="12">A61-B61*100</f>
        <v>35</v>
      </c>
      <c r="D61" s="46" t="str">
        <f>D62</f>
        <v/>
      </c>
      <c r="E61" s="46">
        <f>E62</f>
        <v>0</v>
      </c>
      <c r="F61" s="43">
        <f t="shared" ref="F61:F69" si="13">A61*10+$C$2</f>
        <v>36354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3635</v>
      </c>
      <c r="B62" s="37">
        <f t="shared" si="11"/>
        <v>36</v>
      </c>
      <c r="C62" s="37">
        <f t="shared" si="12"/>
        <v>35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36354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3635</v>
      </c>
      <c r="B63" s="43">
        <f t="shared" si="11"/>
        <v>36</v>
      </c>
      <c r="C63" s="43">
        <f t="shared" si="12"/>
        <v>35</v>
      </c>
      <c r="D63" s="46" t="str">
        <f>D64</f>
        <v/>
      </c>
      <c r="E63" s="46">
        <f>E64</f>
        <v>0</v>
      </c>
      <c r="F63" s="43">
        <f t="shared" si="13"/>
        <v>36354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3635</v>
      </c>
      <c r="B64" s="37">
        <f t="shared" si="11"/>
        <v>36</v>
      </c>
      <c r="C64" s="37">
        <f t="shared" si="12"/>
        <v>35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36354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3635</v>
      </c>
      <c r="B65" s="43">
        <f t="shared" si="11"/>
        <v>36</v>
      </c>
      <c r="C65" s="43">
        <f t="shared" si="12"/>
        <v>35</v>
      </c>
      <c r="D65" s="46" t="str">
        <f>D66</f>
        <v/>
      </c>
      <c r="E65" s="46">
        <f>E66</f>
        <v>0</v>
      </c>
      <c r="F65" s="43">
        <f t="shared" si="13"/>
        <v>36354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3635</v>
      </c>
      <c r="B66" s="37">
        <f t="shared" si="11"/>
        <v>36</v>
      </c>
      <c r="C66" s="37">
        <f t="shared" si="12"/>
        <v>35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36354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3635</v>
      </c>
      <c r="B67" s="43">
        <f t="shared" si="11"/>
        <v>36</v>
      </c>
      <c r="C67" s="43">
        <f t="shared" si="12"/>
        <v>35</v>
      </c>
      <c r="D67" s="46" t="str">
        <f>D68</f>
        <v/>
      </c>
      <c r="E67" s="46">
        <f>E68</f>
        <v>0</v>
      </c>
      <c r="F67" s="43">
        <f t="shared" si="13"/>
        <v>36354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3635</v>
      </c>
      <c r="B68" s="37">
        <f t="shared" si="11"/>
        <v>36</v>
      </c>
      <c r="C68" s="37">
        <f t="shared" si="12"/>
        <v>35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36354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3635</v>
      </c>
      <c r="B69" s="43">
        <f t="shared" si="11"/>
        <v>36</v>
      </c>
      <c r="C69" s="43">
        <f t="shared" si="12"/>
        <v>35</v>
      </c>
      <c r="D69" s="46">
        <f>D70</f>
        <v>80.641729651926383</v>
      </c>
      <c r="E69" s="46">
        <f>E70</f>
        <v>22.663668710386048</v>
      </c>
      <c r="F69" s="43">
        <f t="shared" si="13"/>
        <v>36354</v>
      </c>
      <c r="G69" s="44">
        <f>IFERROR(Interpol1!C43,"")</f>
        <v>4.4578650652132952</v>
      </c>
      <c r="H69" s="46">
        <f t="shared" si="4"/>
        <v>5.0839736911825213</v>
      </c>
    </row>
    <row r="70" spans="1:11" x14ac:dyDescent="0.25">
      <c r="A70" s="50" t="s">
        <v>73</v>
      </c>
      <c r="B70" s="50">
        <f>E4</f>
        <v>36.119233000000001</v>
      </c>
      <c r="C70" s="50">
        <f>F4</f>
        <v>35.922154999999997</v>
      </c>
      <c r="D70" s="49">
        <f>DEGREES(MOD(ATAN2(COS(RADIANS(B69))*SIN(RADIANS(B70))-SIN(RADIANS(B69))*COS(RADIANS(B70))*COS(RADIANS(C70-C69)),SIN(RADIANS(C70-C69))*COS(RADIANS(B70))),2*PI()))</f>
        <v>80.641729651926383</v>
      </c>
      <c r="E70" s="49">
        <f>ACOS(SIN(RADIANS(B55))*SIN(RADIANS(B70))+COS(RADIANS(B55))*COS(RADIANS(B70))*COS((RADIANS(C70-C55))))*6371/1.852/2</f>
        <v>22.663668710386048</v>
      </c>
      <c r="F70" s="49">
        <f>F54</f>
        <v>36354</v>
      </c>
      <c r="G70" s="50">
        <f>IFERROR(Interpol1!C44,"")</f>
        <v>4.4578650652132952</v>
      </c>
      <c r="H70" s="49">
        <f t="shared" si="4"/>
        <v>5.0839736911825213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325.29109321099901</v>
      </c>
      <c r="F72" s="54"/>
      <c r="G72" s="57" t="s">
        <v>88</v>
      </c>
      <c r="H72" s="56">
        <f>SUM(H30:H70)</f>
        <v>64.975647258853087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VLOOKUP(A4,Harbours!A4:D117,3,FALSE)</f>
        <v>#N/A</v>
      </c>
      <c r="C4" s="19" t="e">
        <f>VLOOKUP(A4,Harbours!A4:D117,4,FALSE)</f>
        <v>#N/A</v>
      </c>
      <c r="D4" s="23"/>
      <c r="E4" s="19" t="e">
        <f>VLOOKUP(D4,Harbours!A4:D117,3,FALSE)</f>
        <v>#N/A</v>
      </c>
      <c r="F4" s="19" t="e">
        <f>VLOOKUP(D4,Harbours!A4:D117,4,FALSE)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4.4499544672235327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4.3117829105942986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4.1436641950733044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4.1436641950733044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3.9485418941202886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3.9485418941202886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 t="str">
        <f>IFERROR(Interpol1!C10,"")</f>
        <v/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 t="str">
        <f>IFERROR(Interpol1!C11,"")</f>
        <v/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4.2726831689488316</v>
      </c>
      <c r="H38" s="41">
        <f t="shared" si="3"/>
        <v>0</v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4.2726831689488316</v>
      </c>
      <c r="H39" s="46">
        <f t="shared" si="3"/>
        <v>0</v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4.4592549357152693</v>
      </c>
      <c r="H40" s="41">
        <f t="shared" si="3"/>
        <v>0</v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4.4578650652132952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4.4578650652132952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VLOOKUP(A4,Harbours!A4:D117,3,FALSE)</f>
        <v>#N/A</v>
      </c>
      <c r="C4" s="19" t="e">
        <f>VLOOKUP(A4,Harbours!A4:D117,4,FALSE)</f>
        <v>#N/A</v>
      </c>
      <c r="D4" s="80"/>
      <c r="E4" s="19" t="e">
        <f>VLOOKUP(D4,Harbours!A4:D117,3,FALSE)</f>
        <v>#N/A</v>
      </c>
      <c r="F4" s="19" t="e">
        <f>VLOOKUP(D4,Harbours!A4:D117,4,FALSE)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4.4499544672235327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4.3117829105942986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4.1436641950733044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4.1436641950733044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3.9485418941202886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3.9485418941202886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 t="str">
        <f>IFERROR(Interpol1!C10,"")</f>
        <v/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 t="str">
        <f>IFERROR(Interpol1!C11,"")</f>
        <v/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4.2726831689488316</v>
      </c>
      <c r="H38" s="41">
        <f t="shared" si="3"/>
        <v>0</v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4.2726831689488316</v>
      </c>
      <c r="H39" s="46">
        <f t="shared" si="3"/>
        <v>0</v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4.4592549357152693</v>
      </c>
      <c r="H40" s="41">
        <f t="shared" si="3"/>
        <v>0</v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4.4578650652132952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4.4578650652132952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115.05075835735411</v>
      </c>
      <c r="B4" s="35">
        <f>Segment1!F30</f>
        <v>36304</v>
      </c>
      <c r="C4" s="40">
        <f>SUM(M4:T4)</f>
        <v>4.4499544672235327</v>
      </c>
      <c r="D4" s="19">
        <f>VLOOKUP($B4,ShipSpeeds!$A$7:$I$378,2,FALSE)</f>
        <v>3.3580999999999999</v>
      </c>
      <c r="E4" s="19">
        <f>VLOOKUP($B4,ShipSpeeds!$A$7:$I$378,3,FALSE)</f>
        <v>4.0658000000000003</v>
      </c>
      <c r="F4" s="19">
        <f>VLOOKUP($B4,ShipSpeeds!$A$7:$I$378,4,FALSE)</f>
        <v>4.3133999999999997</v>
      </c>
      <c r="G4" s="19">
        <f>VLOOKUP($B4,ShipSpeeds!$A$7:$I$378,5,FALSE)</f>
        <v>4.5587</v>
      </c>
      <c r="H4" s="19">
        <f>VLOOKUP($B4,ShipSpeeds!$A$7:$I$378,6,FALSE)</f>
        <v>4.2531999999999996</v>
      </c>
      <c r="I4" s="19">
        <f>VLOOKUP($B4,ShipSpeeds!$A$7:$I$378,7,FALSE)</f>
        <v>3.4610000000000003</v>
      </c>
      <c r="J4" s="19">
        <f>VLOOKUP($B4,ShipSpeeds!$A$7:$I$378,8,FALSE)</f>
        <v>2.3925999999999998</v>
      </c>
      <c r="K4" s="19">
        <f>VLOOKUP($B4,ShipSpeeds!$A$7:$I$378,9,FALSE)</f>
        <v>2.6408</v>
      </c>
      <c r="L4" s="58">
        <f>VLOOKUP($B4,ShipSpeeds!$A$7:$I$378,2,FALSE)</f>
        <v>3.3580999999999999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4.4499544672235327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89.706102490886252</v>
      </c>
      <c r="B5" s="35">
        <f>Segment1!F31</f>
        <v>36304</v>
      </c>
      <c r="C5" s="40">
        <f t="shared" ref="C5:C44" si="1">SUM(M5:T5)</f>
        <v>4.3117829105942986</v>
      </c>
      <c r="D5" s="19">
        <f>VLOOKUP($B5,ShipSpeeds!$A$7:$I$378,2,FALSE)</f>
        <v>3.3580999999999999</v>
      </c>
      <c r="E5" s="19">
        <f>VLOOKUP($B5,ShipSpeeds!$A$7:$I$378,3,FALSE)</f>
        <v>4.0658000000000003</v>
      </c>
      <c r="F5" s="19">
        <f>VLOOKUP($B5,ShipSpeeds!$A$7:$I$378,4,FALSE)</f>
        <v>4.3133999999999997</v>
      </c>
      <c r="G5" s="19">
        <f>VLOOKUP($B5,ShipSpeeds!$A$7:$I$378,5,FALSE)</f>
        <v>4.5587</v>
      </c>
      <c r="H5" s="19">
        <f>VLOOKUP($B5,ShipSpeeds!$A$7:$I$378,6,FALSE)</f>
        <v>4.2531999999999996</v>
      </c>
      <c r="I5" s="19">
        <f>VLOOKUP($B5,ShipSpeeds!$A$7:$I$378,7,FALSE)</f>
        <v>3.4610000000000003</v>
      </c>
      <c r="J5" s="19">
        <f>VLOOKUP($B5,ShipSpeeds!$A$7:$I$378,8,FALSE)</f>
        <v>2.3925999999999998</v>
      </c>
      <c r="K5" s="19">
        <f>VLOOKUP($B5,ShipSpeeds!$A$7:$I$378,9,FALSE)</f>
        <v>2.6408</v>
      </c>
      <c r="L5" s="58">
        <f>VLOOKUP($B5,ShipSpeeds!$A$7:$I$378,2,FALSE)</f>
        <v>3.3580999999999999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4.3117829105942986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89.706102490886252</v>
      </c>
      <c r="B6" s="35">
        <f>Segment1!F32</f>
        <v>36314</v>
      </c>
      <c r="C6" s="40">
        <f t="shared" si="1"/>
        <v>4.1436641950733044</v>
      </c>
      <c r="D6" s="19">
        <f>VLOOKUP($B6,ShipSpeeds!$A$7:$I$378,2,FALSE)</f>
        <v>3.5388999999999999</v>
      </c>
      <c r="E6" s="19">
        <f>VLOOKUP($B6,ShipSpeeds!$A$7:$I$378,3,FALSE)</f>
        <v>3.8491999999999997</v>
      </c>
      <c r="F6" s="19">
        <f>VLOOKUP($B6,ShipSpeeds!$A$7:$I$378,4,FALSE)</f>
        <v>4.1456</v>
      </c>
      <c r="G6" s="19">
        <f>VLOOKUP($B6,ShipSpeeds!$A$7:$I$378,5,FALSE)</f>
        <v>4.2659000000000002</v>
      </c>
      <c r="H6" s="19">
        <f>VLOOKUP($B6,ShipSpeeds!$A$7:$I$378,6,FALSE)</f>
        <v>3.7145000000000001</v>
      </c>
      <c r="I6" s="19">
        <f>VLOOKUP($B6,ShipSpeeds!$A$7:$I$378,7,FALSE)</f>
        <v>3.0049000000000001</v>
      </c>
      <c r="J6" s="19">
        <f>VLOOKUP($B6,ShipSpeeds!$A$7:$I$378,8,FALSE)</f>
        <v>2.8171999999999997</v>
      </c>
      <c r="K6" s="19">
        <f>VLOOKUP($B6,ShipSpeeds!$A$7:$I$378,9,FALSE)</f>
        <v>3.3047</v>
      </c>
      <c r="L6" s="58">
        <f>VLOOKUP($B6,ShipSpeeds!$A$7:$I$378,2,FALSE)</f>
        <v>3.5388999999999999</v>
      </c>
      <c r="M6" s="19">
        <f t="shared" si="2"/>
        <v>0</v>
      </c>
      <c r="N6" s="19">
        <f t="shared" si="3"/>
        <v>4.1436641950733044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>
        <f>Segment1!D33</f>
        <v>89.706102490886252</v>
      </c>
      <c r="B7" s="35">
        <f>Segment1!F33</f>
        <v>36314</v>
      </c>
      <c r="C7" s="40">
        <f t="shared" si="1"/>
        <v>4.1436641950733044</v>
      </c>
      <c r="D7" s="19">
        <f>VLOOKUP($B7,ShipSpeeds!$A$7:$I$378,2,FALSE)</f>
        <v>3.5388999999999999</v>
      </c>
      <c r="E7" s="19">
        <f>VLOOKUP($B7,ShipSpeeds!$A$7:$I$378,3,FALSE)</f>
        <v>3.8491999999999997</v>
      </c>
      <c r="F7" s="19">
        <f>VLOOKUP($B7,ShipSpeeds!$A$7:$I$378,4,FALSE)</f>
        <v>4.1456</v>
      </c>
      <c r="G7" s="19">
        <f>VLOOKUP($B7,ShipSpeeds!$A$7:$I$378,5,FALSE)</f>
        <v>4.2659000000000002</v>
      </c>
      <c r="H7" s="19">
        <f>VLOOKUP($B7,ShipSpeeds!$A$7:$I$378,6,FALSE)</f>
        <v>3.7145000000000001</v>
      </c>
      <c r="I7" s="19">
        <f>VLOOKUP($B7,ShipSpeeds!$A$7:$I$378,7,FALSE)</f>
        <v>3.0049000000000001</v>
      </c>
      <c r="J7" s="19">
        <f>VLOOKUP($B7,ShipSpeeds!$A$7:$I$378,8,FALSE)</f>
        <v>2.8171999999999997</v>
      </c>
      <c r="K7" s="19">
        <f>VLOOKUP($B7,ShipSpeeds!$A$7:$I$378,9,FALSE)</f>
        <v>3.3047</v>
      </c>
      <c r="L7" s="58">
        <f>VLOOKUP($B7,ShipSpeeds!$A$7:$I$378,2,FALSE)</f>
        <v>3.5388999999999999</v>
      </c>
      <c r="M7" s="19">
        <f t="shared" si="2"/>
        <v>0</v>
      </c>
      <c r="N7" s="19">
        <f t="shared" si="3"/>
        <v>4.1436641950733044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89.706102490886252</v>
      </c>
      <c r="B8" s="35">
        <f>Segment1!F34</f>
        <v>36324</v>
      </c>
      <c r="C8" s="40">
        <f t="shared" si="1"/>
        <v>3.9485418941202886</v>
      </c>
      <c r="D8" s="19">
        <f>VLOOKUP($B8,ShipSpeeds!$A$7:$I$378,2,FALSE)</f>
        <v>3.8737000000000004</v>
      </c>
      <c r="E8" s="19">
        <f>VLOOKUP($B8,ShipSpeeds!$A$7:$I$378,3,FALSE)</f>
        <v>3.8028000000000004</v>
      </c>
      <c r="F8" s="19">
        <f>VLOOKUP($B8,ShipSpeeds!$A$7:$I$378,4,FALSE)</f>
        <v>3.9494999999999996</v>
      </c>
      <c r="G8" s="19">
        <f>VLOOKUP($B8,ShipSpeeds!$A$7:$I$378,5,FALSE)</f>
        <v>4.0578000000000003</v>
      </c>
      <c r="H8" s="19">
        <f>VLOOKUP($B8,ShipSpeeds!$A$7:$I$378,6,FALSE)</f>
        <v>3.6833999999999998</v>
      </c>
      <c r="I8" s="19">
        <f>VLOOKUP($B8,ShipSpeeds!$A$7:$I$378,7,FALSE)</f>
        <v>2.9490999999999996</v>
      </c>
      <c r="J8" s="19">
        <f>VLOOKUP($B8,ShipSpeeds!$A$7:$I$378,8,FALSE)</f>
        <v>2.9207000000000001</v>
      </c>
      <c r="K8" s="19">
        <f>VLOOKUP($B8,ShipSpeeds!$A$7:$I$378,9,FALSE)</f>
        <v>3.5270999999999999</v>
      </c>
      <c r="L8" s="58">
        <f>VLOOKUP($B8,ShipSpeeds!$A$7:$I$378,2,FALSE)</f>
        <v>3.8737000000000004</v>
      </c>
      <c r="M8" s="19">
        <f t="shared" si="2"/>
        <v>0</v>
      </c>
      <c r="N8" s="19">
        <f t="shared" si="3"/>
        <v>3.9485418941202886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>
        <f>Segment1!D35</f>
        <v>89.706102490886252</v>
      </c>
      <c r="B9" s="35">
        <f>Segment1!F35</f>
        <v>36324</v>
      </c>
      <c r="C9" s="40">
        <f t="shared" si="1"/>
        <v>3.9485418941202886</v>
      </c>
      <c r="D9" s="19">
        <f>VLOOKUP($B9,ShipSpeeds!$A$7:$I$378,2,FALSE)</f>
        <v>3.8737000000000004</v>
      </c>
      <c r="E9" s="19">
        <f>VLOOKUP($B9,ShipSpeeds!$A$7:$I$378,3,FALSE)</f>
        <v>3.8028000000000004</v>
      </c>
      <c r="F9" s="19">
        <f>VLOOKUP($B9,ShipSpeeds!$A$7:$I$378,4,FALSE)</f>
        <v>3.9494999999999996</v>
      </c>
      <c r="G9" s="19">
        <f>VLOOKUP($B9,ShipSpeeds!$A$7:$I$378,5,FALSE)</f>
        <v>4.0578000000000003</v>
      </c>
      <c r="H9" s="19">
        <f>VLOOKUP($B9,ShipSpeeds!$A$7:$I$378,6,FALSE)</f>
        <v>3.6833999999999998</v>
      </c>
      <c r="I9" s="19">
        <f>VLOOKUP($B9,ShipSpeeds!$A$7:$I$378,7,FALSE)</f>
        <v>2.9490999999999996</v>
      </c>
      <c r="J9" s="19">
        <f>VLOOKUP($B9,ShipSpeeds!$A$7:$I$378,8,FALSE)</f>
        <v>2.9207000000000001</v>
      </c>
      <c r="K9" s="19">
        <f>VLOOKUP($B9,ShipSpeeds!$A$7:$I$378,9,FALSE)</f>
        <v>3.5270999999999999</v>
      </c>
      <c r="L9" s="58">
        <f>VLOOKUP($B9,ShipSpeeds!$A$7:$I$378,2,FALSE)</f>
        <v>3.8737000000000004</v>
      </c>
      <c r="M9" s="19">
        <f t="shared" si="2"/>
        <v>0</v>
      </c>
      <c r="N9" s="19">
        <f t="shared" si="3"/>
        <v>3.9485418941202886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>
        <f>Segment1!D36</f>
        <v>89.706102490886252</v>
      </c>
      <c r="B10" s="35">
        <f>Segment1!F36</f>
        <v>36334</v>
      </c>
      <c r="C10" s="40" t="e">
        <f t="shared" si="1"/>
        <v>#N/A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2"/>
        <v>0</v>
      </c>
      <c r="N10" s="19" t="e">
        <f t="shared" si="3"/>
        <v>#N/A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>
        <f>Segment1!D37</f>
        <v>89.706102490886252</v>
      </c>
      <c r="B11" s="35">
        <f>Segment1!F37</f>
        <v>36334</v>
      </c>
      <c r="C11" s="40" t="e">
        <f t="shared" si="1"/>
        <v>#N/A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2"/>
        <v>0</v>
      </c>
      <c r="N11" s="19" t="e">
        <f t="shared" si="3"/>
        <v>#N/A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>
        <f>Segment1!D38</f>
        <v>89.706102490886252</v>
      </c>
      <c r="B12" s="35">
        <f>Segment1!F38</f>
        <v>36344</v>
      </c>
      <c r="C12" s="40">
        <f t="shared" si="1"/>
        <v>4.2726831689488316</v>
      </c>
      <c r="D12" s="19">
        <f>VLOOKUP($B12,ShipSpeeds!$A$7:$I$378,2,FALSE)</f>
        <v>4.0146999999999995</v>
      </c>
      <c r="E12" s="19">
        <f>VLOOKUP($B12,ShipSpeeds!$A$7:$I$378,3,FALSE)</f>
        <v>4.2397</v>
      </c>
      <c r="F12" s="19">
        <f>VLOOKUP($B12,ShipSpeeds!$A$7:$I$378,4,FALSE)</f>
        <v>4.2728999999999999</v>
      </c>
      <c r="G12" s="19">
        <f>VLOOKUP($B12,ShipSpeeds!$A$7:$I$378,5,FALSE)</f>
        <v>3.8379000000000003</v>
      </c>
      <c r="H12" s="19">
        <f>VLOOKUP($B12,ShipSpeeds!$A$7:$I$378,6,FALSE)</f>
        <v>3.024</v>
      </c>
      <c r="I12" s="19">
        <f>VLOOKUP($B12,ShipSpeeds!$A$7:$I$378,7,FALSE)</f>
        <v>2.7327999999999997</v>
      </c>
      <c r="J12" s="19">
        <f>VLOOKUP($B12,ShipSpeeds!$A$7:$I$378,8,FALSE)</f>
        <v>3.1917999999999997</v>
      </c>
      <c r="K12" s="19">
        <f>VLOOKUP($B12,ShipSpeeds!$A$7:$I$378,9,FALSE)</f>
        <v>3.7530999999999999</v>
      </c>
      <c r="L12" s="58">
        <f>VLOOKUP($B12,ShipSpeeds!$A$7:$I$378,2,FALSE)</f>
        <v>4.0146999999999995</v>
      </c>
      <c r="M12" s="19">
        <f>IF(AND($A12&gt;=D$2,$A12&lt;E$2),D12+($A12-D$2)*(E12-D12)/(E$2-D$2),0)</f>
        <v>0</v>
      </c>
      <c r="N12" s="19">
        <f>IF(AND($A12&gt;=E$2,$A12&lt;F$2),E12+($A12-E$2)*(F12-E12)/(F$2-E$2),0)</f>
        <v>4.2726831689488316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>
        <f>Segment1!D39</f>
        <v>89.706102490886252</v>
      </c>
      <c r="B13" s="35">
        <f>Segment1!F39</f>
        <v>36344</v>
      </c>
      <c r="C13" s="40">
        <f t="shared" si="1"/>
        <v>4.2726831689488316</v>
      </c>
      <c r="D13" s="19">
        <f>VLOOKUP($B13,ShipSpeeds!$A$7:$I$378,2,FALSE)</f>
        <v>4.0146999999999995</v>
      </c>
      <c r="E13" s="19">
        <f>VLOOKUP($B13,ShipSpeeds!$A$7:$I$378,3,FALSE)</f>
        <v>4.2397</v>
      </c>
      <c r="F13" s="19">
        <f>VLOOKUP($B13,ShipSpeeds!$A$7:$I$378,4,FALSE)</f>
        <v>4.2728999999999999</v>
      </c>
      <c r="G13" s="19">
        <f>VLOOKUP($B13,ShipSpeeds!$A$7:$I$378,5,FALSE)</f>
        <v>3.8379000000000003</v>
      </c>
      <c r="H13" s="19">
        <f>VLOOKUP($B13,ShipSpeeds!$A$7:$I$378,6,FALSE)</f>
        <v>3.024</v>
      </c>
      <c r="I13" s="19">
        <f>VLOOKUP($B13,ShipSpeeds!$A$7:$I$378,7,FALSE)</f>
        <v>2.7327999999999997</v>
      </c>
      <c r="J13" s="19">
        <f>VLOOKUP($B13,ShipSpeeds!$A$7:$I$378,8,FALSE)</f>
        <v>3.1917999999999997</v>
      </c>
      <c r="K13" s="19">
        <f>VLOOKUP($B13,ShipSpeeds!$A$7:$I$378,9,FALSE)</f>
        <v>3.7530999999999999</v>
      </c>
      <c r="L13" s="58">
        <f>VLOOKUP($B13,ShipSpeeds!$A$7:$I$378,2,FALSE)</f>
        <v>4.0146999999999995</v>
      </c>
      <c r="M13" s="19">
        <f t="shared" si="2"/>
        <v>0</v>
      </c>
      <c r="N13" s="19">
        <f t="shared" si="3"/>
        <v>4.2726831689488316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>
        <f>Segment1!D40</f>
        <v>89.706102490886252</v>
      </c>
      <c r="B14" s="35">
        <f>Segment1!F40</f>
        <v>36354</v>
      </c>
      <c r="C14" s="40">
        <f t="shared" si="1"/>
        <v>4.4592549357152693</v>
      </c>
      <c r="D14" s="19">
        <f>VLOOKUP($B14,ShipSpeeds!$A$7:$I$378,2,FALSE)</f>
        <v>4.4082000000000008</v>
      </c>
      <c r="E14" s="19">
        <f>VLOOKUP($B14,ShipSpeeds!$A$7:$I$378,3,FALSE)</f>
        <v>4.4523999999999999</v>
      </c>
      <c r="F14" s="19">
        <f>VLOOKUP($B14,ShipSpeeds!$A$7:$I$378,4,FALSE)</f>
        <v>4.4592999999999998</v>
      </c>
      <c r="G14" s="19">
        <f>VLOOKUP($B14,ShipSpeeds!$A$7:$I$378,5,FALSE)</f>
        <v>3.6716000000000006</v>
      </c>
      <c r="H14" s="19">
        <f>VLOOKUP($B14,ShipSpeeds!$A$7:$I$378,6,FALSE)</f>
        <v>2.3513999999999999</v>
      </c>
      <c r="I14" s="19">
        <f>VLOOKUP($B14,ShipSpeeds!$A$7:$I$378,7,FALSE)</f>
        <v>2.2589000000000006</v>
      </c>
      <c r="J14" s="19">
        <f>VLOOKUP($B14,ShipSpeeds!$A$7:$I$378,8,FALSE)</f>
        <v>3.5560999999999998</v>
      </c>
      <c r="K14" s="19">
        <f>VLOOKUP($B14,ShipSpeeds!$A$7:$I$378,9,FALSE)</f>
        <v>4.3644000000000007</v>
      </c>
      <c r="L14" s="58">
        <f>VLOOKUP($B14,ShipSpeeds!$A$7:$I$378,2,FALSE)</f>
        <v>4.4082000000000008</v>
      </c>
      <c r="M14" s="19">
        <f t="shared" si="2"/>
        <v>0</v>
      </c>
      <c r="N14" s="19">
        <f t="shared" si="3"/>
        <v>4.4592549357152693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36354</v>
      </c>
      <c r="C15" s="40">
        <f t="shared" si="1"/>
        <v>0</v>
      </c>
      <c r="D15" s="19">
        <f>VLOOKUP($B15,ShipSpeeds!$A$7:$I$378,2,FALSE)</f>
        <v>4.4082000000000008</v>
      </c>
      <c r="E15" s="19">
        <f>VLOOKUP($B15,ShipSpeeds!$A$7:$I$378,3,FALSE)</f>
        <v>4.4523999999999999</v>
      </c>
      <c r="F15" s="19">
        <f>VLOOKUP($B15,ShipSpeeds!$A$7:$I$378,4,FALSE)</f>
        <v>4.4592999999999998</v>
      </c>
      <c r="G15" s="19">
        <f>VLOOKUP($B15,ShipSpeeds!$A$7:$I$378,5,FALSE)</f>
        <v>3.6716000000000006</v>
      </c>
      <c r="H15" s="19">
        <f>VLOOKUP($B15,ShipSpeeds!$A$7:$I$378,6,FALSE)</f>
        <v>2.3513999999999999</v>
      </c>
      <c r="I15" s="19">
        <f>VLOOKUP($B15,ShipSpeeds!$A$7:$I$378,7,FALSE)</f>
        <v>2.2589000000000006</v>
      </c>
      <c r="J15" s="19">
        <f>VLOOKUP($B15,ShipSpeeds!$A$7:$I$378,8,FALSE)</f>
        <v>3.5560999999999998</v>
      </c>
      <c r="K15" s="19">
        <f>VLOOKUP($B15,ShipSpeeds!$A$7:$I$378,9,FALSE)</f>
        <v>4.3644000000000007</v>
      </c>
      <c r="L15" s="58">
        <f>VLOOKUP($B15,ShipSpeeds!$A$7:$I$378,2,FALSE)</f>
        <v>4.4082000000000008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36354</v>
      </c>
      <c r="C16" s="40">
        <f t="shared" si="1"/>
        <v>0</v>
      </c>
      <c r="D16" s="19">
        <f>VLOOKUP($B16,ShipSpeeds!$A$7:$I$378,2,FALSE)</f>
        <v>4.4082000000000008</v>
      </c>
      <c r="E16" s="19">
        <f>VLOOKUP($B16,ShipSpeeds!$A$7:$I$378,3,FALSE)</f>
        <v>4.4523999999999999</v>
      </c>
      <c r="F16" s="19">
        <f>VLOOKUP($B16,ShipSpeeds!$A$7:$I$378,4,FALSE)</f>
        <v>4.4592999999999998</v>
      </c>
      <c r="G16" s="19">
        <f>VLOOKUP($B16,ShipSpeeds!$A$7:$I$378,5,FALSE)</f>
        <v>3.6716000000000006</v>
      </c>
      <c r="H16" s="19">
        <f>VLOOKUP($B16,ShipSpeeds!$A$7:$I$378,6,FALSE)</f>
        <v>2.3513999999999999</v>
      </c>
      <c r="I16" s="19">
        <f>VLOOKUP($B16,ShipSpeeds!$A$7:$I$378,7,FALSE)</f>
        <v>2.2589000000000006</v>
      </c>
      <c r="J16" s="19">
        <f>VLOOKUP($B16,ShipSpeeds!$A$7:$I$378,8,FALSE)</f>
        <v>3.5560999999999998</v>
      </c>
      <c r="K16" s="19">
        <f>VLOOKUP($B16,ShipSpeeds!$A$7:$I$378,9,FALSE)</f>
        <v>4.3644000000000007</v>
      </c>
      <c r="L16" s="58">
        <f>VLOOKUP($B16,ShipSpeeds!$A$7:$I$378,2,FALSE)</f>
        <v>4.4082000000000008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36354</v>
      </c>
      <c r="C17" s="40">
        <f t="shared" si="1"/>
        <v>0</v>
      </c>
      <c r="D17" s="19">
        <f>VLOOKUP($B17,ShipSpeeds!$A$7:$I$378,2,FALSE)</f>
        <v>4.4082000000000008</v>
      </c>
      <c r="E17" s="19">
        <f>VLOOKUP($B17,ShipSpeeds!$A$7:$I$378,3,FALSE)</f>
        <v>4.4523999999999999</v>
      </c>
      <c r="F17" s="19">
        <f>VLOOKUP($B17,ShipSpeeds!$A$7:$I$378,4,FALSE)</f>
        <v>4.4592999999999998</v>
      </c>
      <c r="G17" s="19">
        <f>VLOOKUP($B17,ShipSpeeds!$A$7:$I$378,5,FALSE)</f>
        <v>3.6716000000000006</v>
      </c>
      <c r="H17" s="19">
        <f>VLOOKUP($B17,ShipSpeeds!$A$7:$I$378,6,FALSE)</f>
        <v>2.3513999999999999</v>
      </c>
      <c r="I17" s="19">
        <f>VLOOKUP($B17,ShipSpeeds!$A$7:$I$378,7,FALSE)</f>
        <v>2.2589000000000006</v>
      </c>
      <c r="J17" s="19">
        <f>VLOOKUP($B17,ShipSpeeds!$A$7:$I$378,8,FALSE)</f>
        <v>3.5560999999999998</v>
      </c>
      <c r="K17" s="19">
        <f>VLOOKUP($B17,ShipSpeeds!$A$7:$I$378,9,FALSE)</f>
        <v>4.3644000000000007</v>
      </c>
      <c r="L17" s="58">
        <f>VLOOKUP($B17,ShipSpeeds!$A$7:$I$378,2,FALSE)</f>
        <v>4.4082000000000008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36354</v>
      </c>
      <c r="C18" s="40">
        <f t="shared" si="1"/>
        <v>0</v>
      </c>
      <c r="D18" s="19">
        <f>VLOOKUP($B18,ShipSpeeds!$A$7:$I$378,2,FALSE)</f>
        <v>4.4082000000000008</v>
      </c>
      <c r="E18" s="19">
        <f>VLOOKUP($B18,ShipSpeeds!$A$7:$I$378,3,FALSE)</f>
        <v>4.4523999999999999</v>
      </c>
      <c r="F18" s="19">
        <f>VLOOKUP($B18,ShipSpeeds!$A$7:$I$378,4,FALSE)</f>
        <v>4.4592999999999998</v>
      </c>
      <c r="G18" s="19">
        <f>VLOOKUP($B18,ShipSpeeds!$A$7:$I$378,5,FALSE)</f>
        <v>3.6716000000000006</v>
      </c>
      <c r="H18" s="19">
        <f>VLOOKUP($B18,ShipSpeeds!$A$7:$I$378,6,FALSE)</f>
        <v>2.3513999999999999</v>
      </c>
      <c r="I18" s="19">
        <f>VLOOKUP($B18,ShipSpeeds!$A$7:$I$378,7,FALSE)</f>
        <v>2.2589000000000006</v>
      </c>
      <c r="J18" s="19">
        <f>VLOOKUP($B18,ShipSpeeds!$A$7:$I$378,8,FALSE)</f>
        <v>3.5560999999999998</v>
      </c>
      <c r="K18" s="19">
        <f>VLOOKUP($B18,ShipSpeeds!$A$7:$I$378,9,FALSE)</f>
        <v>4.3644000000000007</v>
      </c>
      <c r="L18" s="58">
        <f>VLOOKUP($B18,ShipSpeeds!$A$7:$I$378,2,FALSE)</f>
        <v>4.4082000000000008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36354</v>
      </c>
      <c r="C19" s="40">
        <f t="shared" si="1"/>
        <v>0</v>
      </c>
      <c r="D19" s="19">
        <f>VLOOKUP($B19,ShipSpeeds!$A$7:$I$378,2,FALSE)</f>
        <v>4.4082000000000008</v>
      </c>
      <c r="E19" s="19">
        <f>VLOOKUP($B19,ShipSpeeds!$A$7:$I$378,3,FALSE)</f>
        <v>4.4523999999999999</v>
      </c>
      <c r="F19" s="19">
        <f>VLOOKUP($B19,ShipSpeeds!$A$7:$I$378,4,FALSE)</f>
        <v>4.4592999999999998</v>
      </c>
      <c r="G19" s="19">
        <f>VLOOKUP($B19,ShipSpeeds!$A$7:$I$378,5,FALSE)</f>
        <v>3.6716000000000006</v>
      </c>
      <c r="H19" s="19">
        <f>VLOOKUP($B19,ShipSpeeds!$A$7:$I$378,6,FALSE)</f>
        <v>2.3513999999999999</v>
      </c>
      <c r="I19" s="19">
        <f>VLOOKUP($B19,ShipSpeeds!$A$7:$I$378,7,FALSE)</f>
        <v>2.2589000000000006</v>
      </c>
      <c r="J19" s="19">
        <f>VLOOKUP($B19,ShipSpeeds!$A$7:$I$378,8,FALSE)</f>
        <v>3.5560999999999998</v>
      </c>
      <c r="K19" s="19">
        <f>VLOOKUP($B19,ShipSpeeds!$A$7:$I$378,9,FALSE)</f>
        <v>4.3644000000000007</v>
      </c>
      <c r="L19" s="58">
        <f>VLOOKUP($B19,ShipSpeeds!$A$7:$I$378,2,FALSE)</f>
        <v>4.4082000000000008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36354</v>
      </c>
      <c r="C20" s="40">
        <f t="shared" si="1"/>
        <v>0</v>
      </c>
      <c r="D20" s="19">
        <f>VLOOKUP($B20,ShipSpeeds!$A$7:$I$378,2,FALSE)</f>
        <v>4.4082000000000008</v>
      </c>
      <c r="E20" s="19">
        <f>VLOOKUP($B20,ShipSpeeds!$A$7:$I$378,3,FALSE)</f>
        <v>4.4523999999999999</v>
      </c>
      <c r="F20" s="19">
        <f>VLOOKUP($B20,ShipSpeeds!$A$7:$I$378,4,FALSE)</f>
        <v>4.4592999999999998</v>
      </c>
      <c r="G20" s="19">
        <f>VLOOKUP($B20,ShipSpeeds!$A$7:$I$378,5,FALSE)</f>
        <v>3.6716000000000006</v>
      </c>
      <c r="H20" s="19">
        <f>VLOOKUP($B20,ShipSpeeds!$A$7:$I$378,6,FALSE)</f>
        <v>2.3513999999999999</v>
      </c>
      <c r="I20" s="19">
        <f>VLOOKUP($B20,ShipSpeeds!$A$7:$I$378,7,FALSE)</f>
        <v>2.2589000000000006</v>
      </c>
      <c r="J20" s="19">
        <f>VLOOKUP($B20,ShipSpeeds!$A$7:$I$378,8,FALSE)</f>
        <v>3.5560999999999998</v>
      </c>
      <c r="K20" s="19">
        <f>VLOOKUP($B20,ShipSpeeds!$A$7:$I$378,9,FALSE)</f>
        <v>4.3644000000000007</v>
      </c>
      <c r="L20" s="58">
        <f>VLOOKUP($B20,ShipSpeeds!$A$7:$I$378,2,FALSE)</f>
        <v>4.4082000000000008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36354</v>
      </c>
      <c r="C21" s="40">
        <f t="shared" si="1"/>
        <v>0</v>
      </c>
      <c r="D21" s="19">
        <f>VLOOKUP($B21,ShipSpeeds!$A$7:$I$378,2,FALSE)</f>
        <v>4.4082000000000008</v>
      </c>
      <c r="E21" s="19">
        <f>VLOOKUP($B21,ShipSpeeds!$A$7:$I$378,3,FALSE)</f>
        <v>4.4523999999999999</v>
      </c>
      <c r="F21" s="19">
        <f>VLOOKUP($B21,ShipSpeeds!$A$7:$I$378,4,FALSE)</f>
        <v>4.4592999999999998</v>
      </c>
      <c r="G21" s="19">
        <f>VLOOKUP($B21,ShipSpeeds!$A$7:$I$378,5,FALSE)</f>
        <v>3.6716000000000006</v>
      </c>
      <c r="H21" s="19">
        <f>VLOOKUP($B21,ShipSpeeds!$A$7:$I$378,6,FALSE)</f>
        <v>2.3513999999999999</v>
      </c>
      <c r="I21" s="19">
        <f>VLOOKUP($B21,ShipSpeeds!$A$7:$I$378,7,FALSE)</f>
        <v>2.2589000000000006</v>
      </c>
      <c r="J21" s="19">
        <f>VLOOKUP($B21,ShipSpeeds!$A$7:$I$378,8,FALSE)</f>
        <v>3.5560999999999998</v>
      </c>
      <c r="K21" s="19">
        <f>VLOOKUP($B21,ShipSpeeds!$A$7:$I$378,9,FALSE)</f>
        <v>4.3644000000000007</v>
      </c>
      <c r="L21" s="58">
        <f>VLOOKUP($B21,ShipSpeeds!$A$7:$I$378,2,FALSE)</f>
        <v>4.4082000000000008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36354</v>
      </c>
      <c r="C22" s="40">
        <f t="shared" si="1"/>
        <v>0</v>
      </c>
      <c r="D22" s="19">
        <f>VLOOKUP($B22,ShipSpeeds!$A$7:$I$378,2,FALSE)</f>
        <v>4.4082000000000008</v>
      </c>
      <c r="E22" s="19">
        <f>VLOOKUP($B22,ShipSpeeds!$A$7:$I$378,3,FALSE)</f>
        <v>4.4523999999999999</v>
      </c>
      <c r="F22" s="19">
        <f>VLOOKUP($B22,ShipSpeeds!$A$7:$I$378,4,FALSE)</f>
        <v>4.4592999999999998</v>
      </c>
      <c r="G22" s="19">
        <f>VLOOKUP($B22,ShipSpeeds!$A$7:$I$378,5,FALSE)</f>
        <v>3.6716000000000006</v>
      </c>
      <c r="H22" s="19">
        <f>VLOOKUP($B22,ShipSpeeds!$A$7:$I$378,6,FALSE)</f>
        <v>2.3513999999999999</v>
      </c>
      <c r="I22" s="19">
        <f>VLOOKUP($B22,ShipSpeeds!$A$7:$I$378,7,FALSE)</f>
        <v>2.2589000000000006</v>
      </c>
      <c r="J22" s="19">
        <f>VLOOKUP($B22,ShipSpeeds!$A$7:$I$378,8,FALSE)</f>
        <v>3.5560999999999998</v>
      </c>
      <c r="K22" s="19">
        <f>VLOOKUP($B22,ShipSpeeds!$A$7:$I$378,9,FALSE)</f>
        <v>4.3644000000000007</v>
      </c>
      <c r="L22" s="58">
        <f>VLOOKUP($B22,ShipSpeeds!$A$7:$I$378,2,FALSE)</f>
        <v>4.4082000000000008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36354</v>
      </c>
      <c r="C23" s="40">
        <f t="shared" si="1"/>
        <v>0</v>
      </c>
      <c r="D23" s="19">
        <f>VLOOKUP($B23,ShipSpeeds!$A$7:$I$378,2,FALSE)</f>
        <v>4.4082000000000008</v>
      </c>
      <c r="E23" s="19">
        <f>VLOOKUP($B23,ShipSpeeds!$A$7:$I$378,3,FALSE)</f>
        <v>4.4523999999999999</v>
      </c>
      <c r="F23" s="19">
        <f>VLOOKUP($B23,ShipSpeeds!$A$7:$I$378,4,FALSE)</f>
        <v>4.4592999999999998</v>
      </c>
      <c r="G23" s="19">
        <f>VLOOKUP($B23,ShipSpeeds!$A$7:$I$378,5,FALSE)</f>
        <v>3.6716000000000006</v>
      </c>
      <c r="H23" s="19">
        <f>VLOOKUP($B23,ShipSpeeds!$A$7:$I$378,6,FALSE)</f>
        <v>2.3513999999999999</v>
      </c>
      <c r="I23" s="19">
        <f>VLOOKUP($B23,ShipSpeeds!$A$7:$I$378,7,FALSE)</f>
        <v>2.2589000000000006</v>
      </c>
      <c r="J23" s="19">
        <f>VLOOKUP($B23,ShipSpeeds!$A$7:$I$378,8,FALSE)</f>
        <v>3.5560999999999998</v>
      </c>
      <c r="K23" s="19">
        <f>VLOOKUP($B23,ShipSpeeds!$A$7:$I$378,9,FALSE)</f>
        <v>4.3644000000000007</v>
      </c>
      <c r="L23" s="58">
        <f>VLOOKUP($B23,ShipSpeeds!$A$7:$I$378,2,FALSE)</f>
        <v>4.4082000000000008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36354</v>
      </c>
      <c r="C24" s="40">
        <f t="shared" si="1"/>
        <v>0</v>
      </c>
      <c r="D24" s="19">
        <f>VLOOKUP($B24,ShipSpeeds!$A$7:$I$378,2,FALSE)</f>
        <v>4.4082000000000008</v>
      </c>
      <c r="E24" s="19">
        <f>VLOOKUP($B24,ShipSpeeds!$A$7:$I$378,3,FALSE)</f>
        <v>4.4523999999999999</v>
      </c>
      <c r="F24" s="19">
        <f>VLOOKUP($B24,ShipSpeeds!$A$7:$I$378,4,FALSE)</f>
        <v>4.4592999999999998</v>
      </c>
      <c r="G24" s="19">
        <f>VLOOKUP($B24,ShipSpeeds!$A$7:$I$378,5,FALSE)</f>
        <v>3.6716000000000006</v>
      </c>
      <c r="H24" s="19">
        <f>VLOOKUP($B24,ShipSpeeds!$A$7:$I$378,6,FALSE)</f>
        <v>2.3513999999999999</v>
      </c>
      <c r="I24" s="19">
        <f>VLOOKUP($B24,ShipSpeeds!$A$7:$I$378,7,FALSE)</f>
        <v>2.2589000000000006</v>
      </c>
      <c r="J24" s="19">
        <f>VLOOKUP($B24,ShipSpeeds!$A$7:$I$378,8,FALSE)</f>
        <v>3.5560999999999998</v>
      </c>
      <c r="K24" s="19">
        <f>VLOOKUP($B24,ShipSpeeds!$A$7:$I$378,9,FALSE)</f>
        <v>4.3644000000000007</v>
      </c>
      <c r="L24" s="58">
        <f>VLOOKUP($B24,ShipSpeeds!$A$7:$I$378,2,FALSE)</f>
        <v>4.4082000000000008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36354</v>
      </c>
      <c r="C25" s="40">
        <f t="shared" si="1"/>
        <v>0</v>
      </c>
      <c r="D25" s="19">
        <f>VLOOKUP($B25,ShipSpeeds!$A$7:$I$378,2,FALSE)</f>
        <v>4.4082000000000008</v>
      </c>
      <c r="E25" s="19">
        <f>VLOOKUP($B25,ShipSpeeds!$A$7:$I$378,3,FALSE)</f>
        <v>4.4523999999999999</v>
      </c>
      <c r="F25" s="19">
        <f>VLOOKUP($B25,ShipSpeeds!$A$7:$I$378,4,FALSE)</f>
        <v>4.4592999999999998</v>
      </c>
      <c r="G25" s="19">
        <f>VLOOKUP($B25,ShipSpeeds!$A$7:$I$378,5,FALSE)</f>
        <v>3.6716000000000006</v>
      </c>
      <c r="H25" s="19">
        <f>VLOOKUP($B25,ShipSpeeds!$A$7:$I$378,6,FALSE)</f>
        <v>2.3513999999999999</v>
      </c>
      <c r="I25" s="19">
        <f>VLOOKUP($B25,ShipSpeeds!$A$7:$I$378,7,FALSE)</f>
        <v>2.2589000000000006</v>
      </c>
      <c r="J25" s="19">
        <f>VLOOKUP($B25,ShipSpeeds!$A$7:$I$378,8,FALSE)</f>
        <v>3.5560999999999998</v>
      </c>
      <c r="K25" s="19">
        <f>VLOOKUP($B25,ShipSpeeds!$A$7:$I$378,9,FALSE)</f>
        <v>4.3644000000000007</v>
      </c>
      <c r="L25" s="58">
        <f>VLOOKUP($B25,ShipSpeeds!$A$7:$I$378,2,FALSE)</f>
        <v>4.4082000000000008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36354</v>
      </c>
      <c r="C26" s="40">
        <f t="shared" si="1"/>
        <v>0</v>
      </c>
      <c r="D26" s="19">
        <f>VLOOKUP($B26,ShipSpeeds!$A$7:$I$378,2,FALSE)</f>
        <v>4.4082000000000008</v>
      </c>
      <c r="E26" s="19">
        <f>VLOOKUP($B26,ShipSpeeds!$A$7:$I$378,3,FALSE)</f>
        <v>4.4523999999999999</v>
      </c>
      <c r="F26" s="19">
        <f>VLOOKUP($B26,ShipSpeeds!$A$7:$I$378,4,FALSE)</f>
        <v>4.4592999999999998</v>
      </c>
      <c r="G26" s="19">
        <f>VLOOKUP($B26,ShipSpeeds!$A$7:$I$378,5,FALSE)</f>
        <v>3.6716000000000006</v>
      </c>
      <c r="H26" s="19">
        <f>VLOOKUP($B26,ShipSpeeds!$A$7:$I$378,6,FALSE)</f>
        <v>2.3513999999999999</v>
      </c>
      <c r="I26" s="19">
        <f>VLOOKUP($B26,ShipSpeeds!$A$7:$I$378,7,FALSE)</f>
        <v>2.2589000000000006</v>
      </c>
      <c r="J26" s="19">
        <f>VLOOKUP($B26,ShipSpeeds!$A$7:$I$378,8,FALSE)</f>
        <v>3.5560999999999998</v>
      </c>
      <c r="K26" s="19">
        <f>VLOOKUP($B26,ShipSpeeds!$A$7:$I$378,9,FALSE)</f>
        <v>4.3644000000000007</v>
      </c>
      <c r="L26" s="58">
        <f>VLOOKUP($B26,ShipSpeeds!$A$7:$I$378,2,FALSE)</f>
        <v>4.4082000000000008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36354</v>
      </c>
      <c r="C27" s="40">
        <f t="shared" si="1"/>
        <v>0</v>
      </c>
      <c r="D27" s="19">
        <f>VLOOKUP($B27,ShipSpeeds!$A$7:$I$378,2,FALSE)</f>
        <v>4.4082000000000008</v>
      </c>
      <c r="E27" s="19">
        <f>VLOOKUP($B27,ShipSpeeds!$A$7:$I$378,3,FALSE)</f>
        <v>4.4523999999999999</v>
      </c>
      <c r="F27" s="19">
        <f>VLOOKUP($B27,ShipSpeeds!$A$7:$I$378,4,FALSE)</f>
        <v>4.4592999999999998</v>
      </c>
      <c r="G27" s="19">
        <f>VLOOKUP($B27,ShipSpeeds!$A$7:$I$378,5,FALSE)</f>
        <v>3.6716000000000006</v>
      </c>
      <c r="H27" s="19">
        <f>VLOOKUP($B27,ShipSpeeds!$A$7:$I$378,6,FALSE)</f>
        <v>2.3513999999999999</v>
      </c>
      <c r="I27" s="19">
        <f>VLOOKUP($B27,ShipSpeeds!$A$7:$I$378,7,FALSE)</f>
        <v>2.2589000000000006</v>
      </c>
      <c r="J27" s="19">
        <f>VLOOKUP($B27,ShipSpeeds!$A$7:$I$378,8,FALSE)</f>
        <v>3.5560999999999998</v>
      </c>
      <c r="K27" s="19">
        <f>VLOOKUP($B27,ShipSpeeds!$A$7:$I$378,9,FALSE)</f>
        <v>4.3644000000000007</v>
      </c>
      <c r="L27" s="58">
        <f>VLOOKUP($B27,ShipSpeeds!$A$7:$I$378,2,FALSE)</f>
        <v>4.4082000000000008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36354</v>
      </c>
      <c r="C28" s="40">
        <f t="shared" si="1"/>
        <v>0</v>
      </c>
      <c r="D28" s="19">
        <f>VLOOKUP($B28,ShipSpeeds!$A$7:$I$378,2,FALSE)</f>
        <v>4.4082000000000008</v>
      </c>
      <c r="E28" s="19">
        <f>VLOOKUP($B28,ShipSpeeds!$A$7:$I$378,3,FALSE)</f>
        <v>4.4523999999999999</v>
      </c>
      <c r="F28" s="19">
        <f>VLOOKUP($B28,ShipSpeeds!$A$7:$I$378,4,FALSE)</f>
        <v>4.4592999999999998</v>
      </c>
      <c r="G28" s="19">
        <f>VLOOKUP($B28,ShipSpeeds!$A$7:$I$378,5,FALSE)</f>
        <v>3.6716000000000006</v>
      </c>
      <c r="H28" s="19">
        <f>VLOOKUP($B28,ShipSpeeds!$A$7:$I$378,6,FALSE)</f>
        <v>2.3513999999999999</v>
      </c>
      <c r="I28" s="19">
        <f>VLOOKUP($B28,ShipSpeeds!$A$7:$I$378,7,FALSE)</f>
        <v>2.2589000000000006</v>
      </c>
      <c r="J28" s="19">
        <f>VLOOKUP($B28,ShipSpeeds!$A$7:$I$378,8,FALSE)</f>
        <v>3.5560999999999998</v>
      </c>
      <c r="K28" s="19">
        <f>VLOOKUP($B28,ShipSpeeds!$A$7:$I$378,9,FALSE)</f>
        <v>4.3644000000000007</v>
      </c>
      <c r="L28" s="58">
        <f>VLOOKUP($B28,ShipSpeeds!$A$7:$I$378,2,FALSE)</f>
        <v>4.4082000000000008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36354</v>
      </c>
      <c r="C29" s="40">
        <f t="shared" si="1"/>
        <v>0</v>
      </c>
      <c r="D29" s="19">
        <f>VLOOKUP($B29,ShipSpeeds!$A$7:$I$378,2,FALSE)</f>
        <v>4.4082000000000008</v>
      </c>
      <c r="E29" s="19">
        <f>VLOOKUP($B29,ShipSpeeds!$A$7:$I$378,3,FALSE)</f>
        <v>4.4523999999999999</v>
      </c>
      <c r="F29" s="19">
        <f>VLOOKUP($B29,ShipSpeeds!$A$7:$I$378,4,FALSE)</f>
        <v>4.4592999999999998</v>
      </c>
      <c r="G29" s="19">
        <f>VLOOKUP($B29,ShipSpeeds!$A$7:$I$378,5,FALSE)</f>
        <v>3.6716000000000006</v>
      </c>
      <c r="H29" s="19">
        <f>VLOOKUP($B29,ShipSpeeds!$A$7:$I$378,6,FALSE)</f>
        <v>2.3513999999999999</v>
      </c>
      <c r="I29" s="19">
        <f>VLOOKUP($B29,ShipSpeeds!$A$7:$I$378,7,FALSE)</f>
        <v>2.2589000000000006</v>
      </c>
      <c r="J29" s="19">
        <f>VLOOKUP($B29,ShipSpeeds!$A$7:$I$378,8,FALSE)</f>
        <v>3.5560999999999998</v>
      </c>
      <c r="K29" s="19">
        <f>VLOOKUP($B29,ShipSpeeds!$A$7:$I$378,9,FALSE)</f>
        <v>4.3644000000000007</v>
      </c>
      <c r="L29" s="58">
        <f>VLOOKUP($B29,ShipSpeeds!$A$7:$I$378,2,FALSE)</f>
        <v>4.4082000000000008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36354</v>
      </c>
      <c r="C30" s="40">
        <f t="shared" si="1"/>
        <v>0</v>
      </c>
      <c r="D30" s="19">
        <f>VLOOKUP($B30,ShipSpeeds!$A$7:$I$378,2,FALSE)</f>
        <v>4.4082000000000008</v>
      </c>
      <c r="E30" s="19">
        <f>VLOOKUP($B30,ShipSpeeds!$A$7:$I$378,3,FALSE)</f>
        <v>4.4523999999999999</v>
      </c>
      <c r="F30" s="19">
        <f>VLOOKUP($B30,ShipSpeeds!$A$7:$I$378,4,FALSE)</f>
        <v>4.4592999999999998</v>
      </c>
      <c r="G30" s="19">
        <f>VLOOKUP($B30,ShipSpeeds!$A$7:$I$378,5,FALSE)</f>
        <v>3.6716000000000006</v>
      </c>
      <c r="H30" s="19">
        <f>VLOOKUP($B30,ShipSpeeds!$A$7:$I$378,6,FALSE)</f>
        <v>2.3513999999999999</v>
      </c>
      <c r="I30" s="19">
        <f>VLOOKUP($B30,ShipSpeeds!$A$7:$I$378,7,FALSE)</f>
        <v>2.2589000000000006</v>
      </c>
      <c r="J30" s="19">
        <f>VLOOKUP($B30,ShipSpeeds!$A$7:$I$378,8,FALSE)</f>
        <v>3.5560999999999998</v>
      </c>
      <c r="K30" s="19">
        <f>VLOOKUP($B30,ShipSpeeds!$A$7:$I$378,9,FALSE)</f>
        <v>4.3644000000000007</v>
      </c>
      <c r="L30" s="58">
        <f>VLOOKUP($B30,ShipSpeeds!$A$7:$I$378,2,FALSE)</f>
        <v>4.4082000000000008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36354</v>
      </c>
      <c r="C31" s="40">
        <f t="shared" si="1"/>
        <v>0</v>
      </c>
      <c r="D31" s="19">
        <f>VLOOKUP($B31,ShipSpeeds!$A$7:$I$378,2,FALSE)</f>
        <v>4.4082000000000008</v>
      </c>
      <c r="E31" s="19">
        <f>VLOOKUP($B31,ShipSpeeds!$A$7:$I$378,3,FALSE)</f>
        <v>4.4523999999999999</v>
      </c>
      <c r="F31" s="19">
        <f>VLOOKUP($B31,ShipSpeeds!$A$7:$I$378,4,FALSE)</f>
        <v>4.4592999999999998</v>
      </c>
      <c r="G31" s="19">
        <f>VLOOKUP($B31,ShipSpeeds!$A$7:$I$378,5,FALSE)</f>
        <v>3.6716000000000006</v>
      </c>
      <c r="H31" s="19">
        <f>VLOOKUP($B31,ShipSpeeds!$A$7:$I$378,6,FALSE)</f>
        <v>2.3513999999999999</v>
      </c>
      <c r="I31" s="19">
        <f>VLOOKUP($B31,ShipSpeeds!$A$7:$I$378,7,FALSE)</f>
        <v>2.2589000000000006</v>
      </c>
      <c r="J31" s="19">
        <f>VLOOKUP($B31,ShipSpeeds!$A$7:$I$378,8,FALSE)</f>
        <v>3.5560999999999998</v>
      </c>
      <c r="K31" s="19">
        <f>VLOOKUP($B31,ShipSpeeds!$A$7:$I$378,9,FALSE)</f>
        <v>4.3644000000000007</v>
      </c>
      <c r="L31" s="58">
        <f>VLOOKUP($B31,ShipSpeeds!$A$7:$I$378,2,FALSE)</f>
        <v>4.4082000000000008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36354</v>
      </c>
      <c r="C32" s="40">
        <f t="shared" si="1"/>
        <v>0</v>
      </c>
      <c r="D32" s="19">
        <f>VLOOKUP($B32,ShipSpeeds!$A$7:$I$378,2,FALSE)</f>
        <v>4.4082000000000008</v>
      </c>
      <c r="E32" s="19">
        <f>VLOOKUP($B32,ShipSpeeds!$A$7:$I$378,3,FALSE)</f>
        <v>4.4523999999999999</v>
      </c>
      <c r="F32" s="19">
        <f>VLOOKUP($B32,ShipSpeeds!$A$7:$I$378,4,FALSE)</f>
        <v>4.4592999999999998</v>
      </c>
      <c r="G32" s="19">
        <f>VLOOKUP($B32,ShipSpeeds!$A$7:$I$378,5,FALSE)</f>
        <v>3.6716000000000006</v>
      </c>
      <c r="H32" s="19">
        <f>VLOOKUP($B32,ShipSpeeds!$A$7:$I$378,6,FALSE)</f>
        <v>2.3513999999999999</v>
      </c>
      <c r="I32" s="19">
        <f>VLOOKUP($B32,ShipSpeeds!$A$7:$I$378,7,FALSE)</f>
        <v>2.2589000000000006</v>
      </c>
      <c r="J32" s="19">
        <f>VLOOKUP($B32,ShipSpeeds!$A$7:$I$378,8,FALSE)</f>
        <v>3.5560999999999998</v>
      </c>
      <c r="K32" s="19">
        <f>VLOOKUP($B32,ShipSpeeds!$A$7:$I$378,9,FALSE)</f>
        <v>4.3644000000000007</v>
      </c>
      <c r="L32" s="58">
        <f>VLOOKUP($B32,ShipSpeeds!$A$7:$I$378,2,FALSE)</f>
        <v>4.4082000000000008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36354</v>
      </c>
      <c r="C33" s="40">
        <f t="shared" si="1"/>
        <v>0</v>
      </c>
      <c r="D33" s="19">
        <f>VLOOKUP($B33,ShipSpeeds!$A$7:$I$378,2,FALSE)</f>
        <v>4.4082000000000008</v>
      </c>
      <c r="E33" s="19">
        <f>VLOOKUP($B33,ShipSpeeds!$A$7:$I$378,3,FALSE)</f>
        <v>4.4523999999999999</v>
      </c>
      <c r="F33" s="19">
        <f>VLOOKUP($B33,ShipSpeeds!$A$7:$I$378,4,FALSE)</f>
        <v>4.4592999999999998</v>
      </c>
      <c r="G33" s="19">
        <f>VLOOKUP($B33,ShipSpeeds!$A$7:$I$378,5,FALSE)</f>
        <v>3.6716000000000006</v>
      </c>
      <c r="H33" s="19">
        <f>VLOOKUP($B33,ShipSpeeds!$A$7:$I$378,6,FALSE)</f>
        <v>2.3513999999999999</v>
      </c>
      <c r="I33" s="19">
        <f>VLOOKUP($B33,ShipSpeeds!$A$7:$I$378,7,FALSE)</f>
        <v>2.2589000000000006</v>
      </c>
      <c r="J33" s="19">
        <f>VLOOKUP($B33,ShipSpeeds!$A$7:$I$378,8,FALSE)</f>
        <v>3.5560999999999998</v>
      </c>
      <c r="K33" s="19">
        <f>VLOOKUP($B33,ShipSpeeds!$A$7:$I$378,9,FALSE)</f>
        <v>4.3644000000000007</v>
      </c>
      <c r="L33" s="58">
        <f>VLOOKUP($B33,ShipSpeeds!$A$7:$I$378,2,FALSE)</f>
        <v>4.4082000000000008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36354</v>
      </c>
      <c r="C34" s="40">
        <f t="shared" si="1"/>
        <v>0</v>
      </c>
      <c r="D34" s="19">
        <f>VLOOKUP($B34,ShipSpeeds!$A$7:$I$378,2,FALSE)</f>
        <v>4.4082000000000008</v>
      </c>
      <c r="E34" s="19">
        <f>VLOOKUP($B34,ShipSpeeds!$A$7:$I$378,3,FALSE)</f>
        <v>4.4523999999999999</v>
      </c>
      <c r="F34" s="19">
        <f>VLOOKUP($B34,ShipSpeeds!$A$7:$I$378,4,FALSE)</f>
        <v>4.4592999999999998</v>
      </c>
      <c r="G34" s="19">
        <f>VLOOKUP($B34,ShipSpeeds!$A$7:$I$378,5,FALSE)</f>
        <v>3.6716000000000006</v>
      </c>
      <c r="H34" s="19">
        <f>VLOOKUP($B34,ShipSpeeds!$A$7:$I$378,6,FALSE)</f>
        <v>2.3513999999999999</v>
      </c>
      <c r="I34" s="19">
        <f>VLOOKUP($B34,ShipSpeeds!$A$7:$I$378,7,FALSE)</f>
        <v>2.2589000000000006</v>
      </c>
      <c r="J34" s="19">
        <f>VLOOKUP($B34,ShipSpeeds!$A$7:$I$378,8,FALSE)</f>
        <v>3.5560999999999998</v>
      </c>
      <c r="K34" s="19">
        <f>VLOOKUP($B34,ShipSpeeds!$A$7:$I$378,9,FALSE)</f>
        <v>4.3644000000000007</v>
      </c>
      <c r="L34" s="58">
        <f>VLOOKUP($B34,ShipSpeeds!$A$7:$I$378,2,FALSE)</f>
        <v>4.4082000000000008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36354</v>
      </c>
      <c r="C35" s="40">
        <f t="shared" si="1"/>
        <v>0</v>
      </c>
      <c r="D35" s="19">
        <f>VLOOKUP($B35,ShipSpeeds!$A$7:$I$378,2,FALSE)</f>
        <v>4.4082000000000008</v>
      </c>
      <c r="E35" s="19">
        <f>VLOOKUP($B35,ShipSpeeds!$A$7:$I$378,3,FALSE)</f>
        <v>4.4523999999999999</v>
      </c>
      <c r="F35" s="19">
        <f>VLOOKUP($B35,ShipSpeeds!$A$7:$I$378,4,FALSE)</f>
        <v>4.4592999999999998</v>
      </c>
      <c r="G35" s="19">
        <f>VLOOKUP($B35,ShipSpeeds!$A$7:$I$378,5,FALSE)</f>
        <v>3.6716000000000006</v>
      </c>
      <c r="H35" s="19">
        <f>VLOOKUP($B35,ShipSpeeds!$A$7:$I$378,6,FALSE)</f>
        <v>2.3513999999999999</v>
      </c>
      <c r="I35" s="19">
        <f>VLOOKUP($B35,ShipSpeeds!$A$7:$I$378,7,FALSE)</f>
        <v>2.2589000000000006</v>
      </c>
      <c r="J35" s="19">
        <f>VLOOKUP($B35,ShipSpeeds!$A$7:$I$378,8,FALSE)</f>
        <v>3.5560999999999998</v>
      </c>
      <c r="K35" s="19">
        <f>VLOOKUP($B35,ShipSpeeds!$A$7:$I$378,9,FALSE)</f>
        <v>4.3644000000000007</v>
      </c>
      <c r="L35" s="58">
        <f>VLOOKUP($B35,ShipSpeeds!$A$7:$I$378,2,FALSE)</f>
        <v>4.4082000000000008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36354</v>
      </c>
      <c r="C36" s="40">
        <f t="shared" si="1"/>
        <v>0</v>
      </c>
      <c r="D36" s="19">
        <f>VLOOKUP($B36,ShipSpeeds!$A$7:$I$378,2,FALSE)</f>
        <v>4.4082000000000008</v>
      </c>
      <c r="E36" s="19">
        <f>VLOOKUP($B36,ShipSpeeds!$A$7:$I$378,3,FALSE)</f>
        <v>4.4523999999999999</v>
      </c>
      <c r="F36" s="19">
        <f>VLOOKUP($B36,ShipSpeeds!$A$7:$I$378,4,FALSE)</f>
        <v>4.4592999999999998</v>
      </c>
      <c r="G36" s="19">
        <f>VLOOKUP($B36,ShipSpeeds!$A$7:$I$378,5,FALSE)</f>
        <v>3.6716000000000006</v>
      </c>
      <c r="H36" s="19">
        <f>VLOOKUP($B36,ShipSpeeds!$A$7:$I$378,6,FALSE)</f>
        <v>2.3513999999999999</v>
      </c>
      <c r="I36" s="19">
        <f>VLOOKUP($B36,ShipSpeeds!$A$7:$I$378,7,FALSE)</f>
        <v>2.2589000000000006</v>
      </c>
      <c r="J36" s="19">
        <f>VLOOKUP($B36,ShipSpeeds!$A$7:$I$378,8,FALSE)</f>
        <v>3.5560999999999998</v>
      </c>
      <c r="K36" s="19">
        <f>VLOOKUP($B36,ShipSpeeds!$A$7:$I$378,9,FALSE)</f>
        <v>4.3644000000000007</v>
      </c>
      <c r="L36" s="58">
        <f>VLOOKUP($B36,ShipSpeeds!$A$7:$I$378,2,FALSE)</f>
        <v>4.4082000000000008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36354</v>
      </c>
      <c r="C37" s="40">
        <f t="shared" si="1"/>
        <v>0</v>
      </c>
      <c r="D37" s="19">
        <f>VLOOKUP($B37,ShipSpeeds!$A$7:$I$378,2,FALSE)</f>
        <v>4.4082000000000008</v>
      </c>
      <c r="E37" s="19">
        <f>VLOOKUP($B37,ShipSpeeds!$A$7:$I$378,3,FALSE)</f>
        <v>4.4523999999999999</v>
      </c>
      <c r="F37" s="19">
        <f>VLOOKUP($B37,ShipSpeeds!$A$7:$I$378,4,FALSE)</f>
        <v>4.4592999999999998</v>
      </c>
      <c r="G37" s="19">
        <f>VLOOKUP($B37,ShipSpeeds!$A$7:$I$378,5,FALSE)</f>
        <v>3.6716000000000006</v>
      </c>
      <c r="H37" s="19">
        <f>VLOOKUP($B37,ShipSpeeds!$A$7:$I$378,6,FALSE)</f>
        <v>2.3513999999999999</v>
      </c>
      <c r="I37" s="19">
        <f>VLOOKUP($B37,ShipSpeeds!$A$7:$I$378,7,FALSE)</f>
        <v>2.2589000000000006</v>
      </c>
      <c r="J37" s="19">
        <f>VLOOKUP($B37,ShipSpeeds!$A$7:$I$378,8,FALSE)</f>
        <v>3.5560999999999998</v>
      </c>
      <c r="K37" s="19">
        <f>VLOOKUP($B37,ShipSpeeds!$A$7:$I$378,9,FALSE)</f>
        <v>4.3644000000000007</v>
      </c>
      <c r="L37" s="58">
        <f>VLOOKUP($B37,ShipSpeeds!$A$7:$I$378,2,FALSE)</f>
        <v>4.4082000000000008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36354</v>
      </c>
      <c r="C38" s="40">
        <f t="shared" si="1"/>
        <v>0</v>
      </c>
      <c r="D38" s="19">
        <f>VLOOKUP($B38,ShipSpeeds!$A$7:$I$378,2,FALSE)</f>
        <v>4.4082000000000008</v>
      </c>
      <c r="E38" s="19">
        <f>VLOOKUP($B38,ShipSpeeds!$A$7:$I$378,3,FALSE)</f>
        <v>4.4523999999999999</v>
      </c>
      <c r="F38" s="19">
        <f>VLOOKUP($B38,ShipSpeeds!$A$7:$I$378,4,FALSE)</f>
        <v>4.4592999999999998</v>
      </c>
      <c r="G38" s="19">
        <f>VLOOKUP($B38,ShipSpeeds!$A$7:$I$378,5,FALSE)</f>
        <v>3.6716000000000006</v>
      </c>
      <c r="H38" s="19">
        <f>VLOOKUP($B38,ShipSpeeds!$A$7:$I$378,6,FALSE)</f>
        <v>2.3513999999999999</v>
      </c>
      <c r="I38" s="19">
        <f>VLOOKUP($B38,ShipSpeeds!$A$7:$I$378,7,FALSE)</f>
        <v>2.2589000000000006</v>
      </c>
      <c r="J38" s="19">
        <f>VLOOKUP($B38,ShipSpeeds!$A$7:$I$378,8,FALSE)</f>
        <v>3.5560999999999998</v>
      </c>
      <c r="K38" s="19">
        <f>VLOOKUP($B38,ShipSpeeds!$A$7:$I$378,9,FALSE)</f>
        <v>4.3644000000000007</v>
      </c>
      <c r="L38" s="58">
        <f>VLOOKUP($B38,ShipSpeeds!$A$7:$I$378,2,FALSE)</f>
        <v>4.4082000000000008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36354</v>
      </c>
      <c r="C39" s="40">
        <f t="shared" si="1"/>
        <v>0</v>
      </c>
      <c r="D39" s="19">
        <f>VLOOKUP($B39,ShipSpeeds!$A$7:$I$378,2,FALSE)</f>
        <v>4.4082000000000008</v>
      </c>
      <c r="E39" s="19">
        <f>VLOOKUP($B39,ShipSpeeds!$A$7:$I$378,3,FALSE)</f>
        <v>4.4523999999999999</v>
      </c>
      <c r="F39" s="19">
        <f>VLOOKUP($B39,ShipSpeeds!$A$7:$I$378,4,FALSE)</f>
        <v>4.4592999999999998</v>
      </c>
      <c r="G39" s="19">
        <f>VLOOKUP($B39,ShipSpeeds!$A$7:$I$378,5,FALSE)</f>
        <v>3.6716000000000006</v>
      </c>
      <c r="H39" s="19">
        <f>VLOOKUP($B39,ShipSpeeds!$A$7:$I$378,6,FALSE)</f>
        <v>2.3513999999999999</v>
      </c>
      <c r="I39" s="19">
        <f>VLOOKUP($B39,ShipSpeeds!$A$7:$I$378,7,FALSE)</f>
        <v>2.2589000000000006</v>
      </c>
      <c r="J39" s="19">
        <f>VLOOKUP($B39,ShipSpeeds!$A$7:$I$378,8,FALSE)</f>
        <v>3.5560999999999998</v>
      </c>
      <c r="K39" s="19">
        <f>VLOOKUP($B39,ShipSpeeds!$A$7:$I$378,9,FALSE)</f>
        <v>4.3644000000000007</v>
      </c>
      <c r="L39" s="58">
        <f>VLOOKUP($B39,ShipSpeeds!$A$7:$I$378,2,FALSE)</f>
        <v>4.4082000000000008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36354</v>
      </c>
      <c r="C40" s="40">
        <f t="shared" si="1"/>
        <v>0</v>
      </c>
      <c r="D40" s="19">
        <f>VLOOKUP($B40,ShipSpeeds!$A$7:$I$378,2,FALSE)</f>
        <v>4.4082000000000008</v>
      </c>
      <c r="E40" s="19">
        <f>VLOOKUP($B40,ShipSpeeds!$A$7:$I$378,3,FALSE)</f>
        <v>4.4523999999999999</v>
      </c>
      <c r="F40" s="19">
        <f>VLOOKUP($B40,ShipSpeeds!$A$7:$I$378,4,FALSE)</f>
        <v>4.4592999999999998</v>
      </c>
      <c r="G40" s="19">
        <f>VLOOKUP($B40,ShipSpeeds!$A$7:$I$378,5,FALSE)</f>
        <v>3.6716000000000006</v>
      </c>
      <c r="H40" s="19">
        <f>VLOOKUP($B40,ShipSpeeds!$A$7:$I$378,6,FALSE)</f>
        <v>2.3513999999999999</v>
      </c>
      <c r="I40" s="19">
        <f>VLOOKUP($B40,ShipSpeeds!$A$7:$I$378,7,FALSE)</f>
        <v>2.2589000000000006</v>
      </c>
      <c r="J40" s="19">
        <f>VLOOKUP($B40,ShipSpeeds!$A$7:$I$378,8,FALSE)</f>
        <v>3.5560999999999998</v>
      </c>
      <c r="K40" s="19">
        <f>VLOOKUP($B40,ShipSpeeds!$A$7:$I$378,9,FALSE)</f>
        <v>4.3644000000000007</v>
      </c>
      <c r="L40" s="58">
        <f>VLOOKUP($B40,ShipSpeeds!$A$7:$I$378,2,FALSE)</f>
        <v>4.4082000000000008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36354</v>
      </c>
      <c r="C41" s="40">
        <f t="shared" si="1"/>
        <v>0</v>
      </c>
      <c r="D41" s="19">
        <f>VLOOKUP($B41,ShipSpeeds!$A$7:$I$378,2,FALSE)</f>
        <v>4.4082000000000008</v>
      </c>
      <c r="E41" s="19">
        <f>VLOOKUP($B41,ShipSpeeds!$A$7:$I$378,3,FALSE)</f>
        <v>4.4523999999999999</v>
      </c>
      <c r="F41" s="19">
        <f>VLOOKUP($B41,ShipSpeeds!$A$7:$I$378,4,FALSE)</f>
        <v>4.4592999999999998</v>
      </c>
      <c r="G41" s="19">
        <f>VLOOKUP($B41,ShipSpeeds!$A$7:$I$378,5,FALSE)</f>
        <v>3.6716000000000006</v>
      </c>
      <c r="H41" s="19">
        <f>VLOOKUP($B41,ShipSpeeds!$A$7:$I$378,6,FALSE)</f>
        <v>2.3513999999999999</v>
      </c>
      <c r="I41" s="19">
        <f>VLOOKUP($B41,ShipSpeeds!$A$7:$I$378,7,FALSE)</f>
        <v>2.2589000000000006</v>
      </c>
      <c r="J41" s="19">
        <f>VLOOKUP($B41,ShipSpeeds!$A$7:$I$378,8,FALSE)</f>
        <v>3.5560999999999998</v>
      </c>
      <c r="K41" s="19">
        <f>VLOOKUP($B41,ShipSpeeds!$A$7:$I$378,9,FALSE)</f>
        <v>4.3644000000000007</v>
      </c>
      <c r="L41" s="58">
        <f>VLOOKUP($B41,ShipSpeeds!$A$7:$I$378,2,FALSE)</f>
        <v>4.4082000000000008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36354</v>
      </c>
      <c r="C42" s="40">
        <f t="shared" si="1"/>
        <v>0</v>
      </c>
      <c r="D42" s="19">
        <f>VLOOKUP($B42,ShipSpeeds!$A$7:$I$378,2,FALSE)</f>
        <v>4.4082000000000008</v>
      </c>
      <c r="E42" s="19">
        <f>VLOOKUP($B42,ShipSpeeds!$A$7:$I$378,3,FALSE)</f>
        <v>4.4523999999999999</v>
      </c>
      <c r="F42" s="19">
        <f>VLOOKUP($B42,ShipSpeeds!$A$7:$I$378,4,FALSE)</f>
        <v>4.4592999999999998</v>
      </c>
      <c r="G42" s="19">
        <f>VLOOKUP($B42,ShipSpeeds!$A$7:$I$378,5,FALSE)</f>
        <v>3.6716000000000006</v>
      </c>
      <c r="H42" s="19">
        <f>VLOOKUP($B42,ShipSpeeds!$A$7:$I$378,6,FALSE)</f>
        <v>2.3513999999999999</v>
      </c>
      <c r="I42" s="19">
        <f>VLOOKUP($B42,ShipSpeeds!$A$7:$I$378,7,FALSE)</f>
        <v>2.2589000000000006</v>
      </c>
      <c r="J42" s="19">
        <f>VLOOKUP($B42,ShipSpeeds!$A$7:$I$378,8,FALSE)</f>
        <v>3.5560999999999998</v>
      </c>
      <c r="K42" s="19">
        <f>VLOOKUP($B42,ShipSpeeds!$A$7:$I$378,9,FALSE)</f>
        <v>4.3644000000000007</v>
      </c>
      <c r="L42" s="58">
        <f>VLOOKUP($B42,ShipSpeeds!$A$7:$I$378,2,FALSE)</f>
        <v>4.4082000000000008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80.641729651926383</v>
      </c>
      <c r="B43" s="35">
        <f>Segment1!F69</f>
        <v>36354</v>
      </c>
      <c r="C43" s="40">
        <f t="shared" si="1"/>
        <v>4.4578650652132952</v>
      </c>
      <c r="D43" s="19">
        <f>VLOOKUP($B43,ShipSpeeds!$A$7:$I$378,2,FALSE)</f>
        <v>4.4082000000000008</v>
      </c>
      <c r="E43" s="19">
        <f>VLOOKUP($B43,ShipSpeeds!$A$7:$I$378,3,FALSE)</f>
        <v>4.4523999999999999</v>
      </c>
      <c r="F43" s="19">
        <f>VLOOKUP($B43,ShipSpeeds!$A$7:$I$378,4,FALSE)</f>
        <v>4.4592999999999998</v>
      </c>
      <c r="G43" s="19">
        <f>VLOOKUP($B43,ShipSpeeds!$A$7:$I$378,5,FALSE)</f>
        <v>3.6716000000000006</v>
      </c>
      <c r="H43" s="19">
        <f>VLOOKUP($B43,ShipSpeeds!$A$7:$I$378,6,FALSE)</f>
        <v>2.3513999999999999</v>
      </c>
      <c r="I43" s="19">
        <f>VLOOKUP($B43,ShipSpeeds!$A$7:$I$378,7,FALSE)</f>
        <v>2.2589000000000006</v>
      </c>
      <c r="J43" s="19">
        <f>VLOOKUP($B43,ShipSpeeds!$A$7:$I$378,8,FALSE)</f>
        <v>3.5560999999999998</v>
      </c>
      <c r="K43" s="19">
        <f>VLOOKUP($B43,ShipSpeeds!$A$7:$I$378,9,FALSE)</f>
        <v>4.3644000000000007</v>
      </c>
      <c r="L43" s="58">
        <f>VLOOKUP($B43,ShipSpeeds!$A$7:$I$378,2,FALSE)</f>
        <v>4.4082000000000008</v>
      </c>
      <c r="M43" s="19">
        <f t="shared" si="10"/>
        <v>0</v>
      </c>
      <c r="N43" s="19">
        <f>IF(AND($A43&gt;=E$2,$A43&lt;F$2),E43+($A43-E$2)*(F43-E43)/(F$2-E$2),0)</f>
        <v>4.4578650652132952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80.641729651926383</v>
      </c>
      <c r="B44" s="35">
        <f>Segment1!F70</f>
        <v>36354</v>
      </c>
      <c r="C44" s="40">
        <f t="shared" si="1"/>
        <v>4.4578650652132952</v>
      </c>
      <c r="D44" s="19">
        <f>VLOOKUP($B44,ShipSpeeds!$A$7:$I$378,2,FALSE)</f>
        <v>4.4082000000000008</v>
      </c>
      <c r="E44" s="19">
        <f>VLOOKUP($B44,ShipSpeeds!$A$7:$I$378,3,FALSE)</f>
        <v>4.4523999999999999</v>
      </c>
      <c r="F44" s="19">
        <f>VLOOKUP($B44,ShipSpeeds!$A$7:$I$378,4,FALSE)</f>
        <v>4.4592999999999998</v>
      </c>
      <c r="G44" s="19">
        <f>VLOOKUP($B44,ShipSpeeds!$A$7:$I$378,5,FALSE)</f>
        <v>3.6716000000000006</v>
      </c>
      <c r="H44" s="19">
        <f>VLOOKUP($B44,ShipSpeeds!$A$7:$I$378,6,FALSE)</f>
        <v>2.3513999999999999</v>
      </c>
      <c r="I44" s="19">
        <f>VLOOKUP($B44,ShipSpeeds!$A$7:$I$378,7,FALSE)</f>
        <v>2.2589000000000006</v>
      </c>
      <c r="J44" s="19">
        <f>VLOOKUP($B44,ShipSpeeds!$A$7:$I$378,8,FALSE)</f>
        <v>3.5560999999999998</v>
      </c>
      <c r="K44" s="19">
        <f>VLOOKUP($B44,ShipSpeeds!$A$7:$I$378,9,FALSE)</f>
        <v>4.3644000000000007</v>
      </c>
      <c r="L44" s="58">
        <f>VLOOKUP($B44,ShipSpeeds!$A$7:$I$378,2,FALSE)</f>
        <v>4.4082000000000008</v>
      </c>
      <c r="M44" s="19">
        <f t="shared" si="10"/>
        <v>0</v>
      </c>
      <c r="N44" s="19">
        <f>IF(AND($A44&gt;=E$2,$A44&lt;F$2),E44+($A44-E$2)*(F44-E44)/(F$2-E$2),0)</f>
        <v>4.4578650652132952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7"/>
  <sheetViews>
    <sheetView topLeftCell="A7" workbookViewId="0">
      <selection activeCell="A21" sqref="A21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137</v>
      </c>
      <c r="B9" t="s">
        <v>138</v>
      </c>
      <c r="C9" s="18">
        <v>37.942000999999998</v>
      </c>
      <c r="D9" s="18">
        <v>23.637744999999999</v>
      </c>
    </row>
    <row r="10" spans="1:4" x14ac:dyDescent="0.25">
      <c r="A10" t="s">
        <v>44</v>
      </c>
      <c r="B10" t="s">
        <v>45</v>
      </c>
      <c r="C10" s="18">
        <v>36.884399999999999</v>
      </c>
      <c r="D10" s="18">
        <v>30.702300000000001</v>
      </c>
    </row>
    <row r="11" spans="1:4" x14ac:dyDescent="0.25">
      <c r="A11" t="s">
        <v>32</v>
      </c>
      <c r="B11" t="s">
        <v>33</v>
      </c>
      <c r="C11" s="18">
        <v>34.116999999999997</v>
      </c>
      <c r="D11" s="18">
        <v>35.646999999999998</v>
      </c>
    </row>
    <row r="12" spans="1:4" x14ac:dyDescent="0.25">
      <c r="A12" t="s">
        <v>29</v>
      </c>
      <c r="B12" t="s">
        <v>54</v>
      </c>
      <c r="C12" s="18">
        <v>32.503433000000001</v>
      </c>
      <c r="D12" s="18">
        <v>34.888131999999999</v>
      </c>
    </row>
    <row r="13" spans="1:4" x14ac:dyDescent="0.25">
      <c r="A13" t="s">
        <v>99</v>
      </c>
      <c r="B13" t="s">
        <v>100</v>
      </c>
      <c r="C13" s="18">
        <v>36.193945999999997</v>
      </c>
      <c r="D13" s="18">
        <v>30.404160999999998</v>
      </c>
    </row>
    <row r="14" spans="1:4" x14ac:dyDescent="0.25">
      <c r="A14" t="s">
        <v>111</v>
      </c>
      <c r="B14" t="s">
        <v>112</v>
      </c>
      <c r="C14" s="18">
        <v>39.608899999999998</v>
      </c>
      <c r="D14" s="18">
        <v>19.923249999999999</v>
      </c>
    </row>
    <row r="15" spans="1:4" x14ac:dyDescent="0.25">
      <c r="A15" t="s">
        <v>142</v>
      </c>
      <c r="B15" t="s">
        <v>139</v>
      </c>
      <c r="C15" s="18">
        <v>37.477935000000002</v>
      </c>
      <c r="D15" s="18">
        <v>23.481248999999998</v>
      </c>
    </row>
    <row r="16" spans="1:4" x14ac:dyDescent="0.25">
      <c r="A16" t="s">
        <v>27</v>
      </c>
      <c r="B16" t="s">
        <v>28</v>
      </c>
      <c r="C16" s="18">
        <v>31.504200000000001</v>
      </c>
      <c r="D16" s="18">
        <v>34.464399999999998</v>
      </c>
    </row>
    <row r="17" spans="1:4" x14ac:dyDescent="0.25">
      <c r="A17" t="s">
        <v>57</v>
      </c>
      <c r="B17" t="s">
        <v>58</v>
      </c>
      <c r="C17" s="18">
        <v>35.343336999999998</v>
      </c>
      <c r="D17" s="18">
        <v>25.136071999999999</v>
      </c>
    </row>
    <row r="18" spans="1:4" x14ac:dyDescent="0.25">
      <c r="A18" t="s">
        <v>105</v>
      </c>
      <c r="B18" t="s">
        <v>106</v>
      </c>
      <c r="C18" s="18">
        <v>35.427390000000003</v>
      </c>
      <c r="D18" s="18">
        <v>27.155329999999999</v>
      </c>
    </row>
    <row r="19" spans="1:4" x14ac:dyDescent="0.25">
      <c r="A19" t="s">
        <v>48</v>
      </c>
      <c r="B19" t="s">
        <v>49</v>
      </c>
      <c r="C19" s="18">
        <v>36.683709999999998</v>
      </c>
      <c r="D19" s="18">
        <v>27.376428000000001</v>
      </c>
    </row>
    <row r="20" spans="1:4" x14ac:dyDescent="0.25">
      <c r="A20" t="s">
        <v>55</v>
      </c>
      <c r="B20" t="s">
        <v>56</v>
      </c>
      <c r="C20" s="18">
        <v>35.012878000000001</v>
      </c>
      <c r="D20" s="18">
        <v>24.760081</v>
      </c>
    </row>
    <row r="21" spans="1:4" x14ac:dyDescent="0.25">
      <c r="A21" t="s">
        <v>146</v>
      </c>
      <c r="B21" t="s">
        <v>145</v>
      </c>
      <c r="C21" s="18">
        <v>34.660339999999998</v>
      </c>
      <c r="D21" s="18">
        <v>32.883580000000002</v>
      </c>
    </row>
    <row r="22" spans="1:4" x14ac:dyDescent="0.25">
      <c r="A22" t="s">
        <v>102</v>
      </c>
      <c r="B22" t="s">
        <v>103</v>
      </c>
      <c r="C22" s="18">
        <v>36.221699999999998</v>
      </c>
      <c r="D22" s="18">
        <v>23.058499999999999</v>
      </c>
    </row>
    <row r="23" spans="1:4" x14ac:dyDescent="0.25">
      <c r="A23" t="s">
        <v>140</v>
      </c>
      <c r="B23" t="s">
        <v>141</v>
      </c>
      <c r="C23" s="18">
        <v>31.2378</v>
      </c>
      <c r="D23" s="18">
        <v>27.866900000000001</v>
      </c>
    </row>
    <row r="24" spans="1:4" x14ac:dyDescent="0.25">
      <c r="A24" t="s">
        <v>107</v>
      </c>
      <c r="B24" t="s">
        <v>108</v>
      </c>
      <c r="C24" s="18">
        <v>36.816800000000001</v>
      </c>
      <c r="D24" s="18">
        <v>21.704499999999999</v>
      </c>
    </row>
    <row r="25" spans="1:4" x14ac:dyDescent="0.25">
      <c r="A25" t="s">
        <v>52</v>
      </c>
      <c r="B25" t="s">
        <v>53</v>
      </c>
      <c r="C25" s="18">
        <v>34.754114000000001</v>
      </c>
      <c r="D25" s="18">
        <v>32.410603999999999</v>
      </c>
    </row>
    <row r="26" spans="1:4" x14ac:dyDescent="0.25">
      <c r="A26" t="s">
        <v>46</v>
      </c>
      <c r="B26" t="s">
        <v>47</v>
      </c>
      <c r="C26" s="18">
        <v>36.263606000000003</v>
      </c>
      <c r="D26" s="18">
        <v>29.308129999999998</v>
      </c>
    </row>
    <row r="27" spans="1:4" x14ac:dyDescent="0.25">
      <c r="A27" t="s">
        <v>143</v>
      </c>
      <c r="B27" t="s">
        <v>144</v>
      </c>
      <c r="C27" s="18">
        <v>31.044191999999999</v>
      </c>
      <c r="D27" s="18">
        <v>32.543540999999998</v>
      </c>
    </row>
    <row r="28" spans="1:4" x14ac:dyDescent="0.25">
      <c r="A28" t="s">
        <v>41</v>
      </c>
      <c r="B28" t="s">
        <v>42</v>
      </c>
      <c r="C28" s="18">
        <v>36.738824000000001</v>
      </c>
      <c r="D28" s="18">
        <v>34.542045000000002</v>
      </c>
    </row>
    <row r="29" spans="1:4" x14ac:dyDescent="0.25">
      <c r="A29" t="s">
        <v>117</v>
      </c>
      <c r="B29" t="s">
        <v>118</v>
      </c>
      <c r="C29" s="18">
        <v>41.779696000000001</v>
      </c>
      <c r="D29" s="18">
        <v>12.248161</v>
      </c>
    </row>
    <row r="30" spans="1:4" x14ac:dyDescent="0.25">
      <c r="A30" t="s">
        <v>115</v>
      </c>
      <c r="B30" t="s">
        <v>116</v>
      </c>
      <c r="C30" s="18">
        <v>40.821599999999997</v>
      </c>
      <c r="D30" s="18">
        <v>14.115399999999999</v>
      </c>
    </row>
    <row r="31" spans="1:4" x14ac:dyDescent="0.25">
      <c r="A31" t="s">
        <v>113</v>
      </c>
      <c r="B31" t="s">
        <v>114</v>
      </c>
      <c r="C31" s="18">
        <v>38.109425000000002</v>
      </c>
      <c r="D31" s="18">
        <v>15.634658</v>
      </c>
    </row>
    <row r="32" spans="1:4" x14ac:dyDescent="0.25">
      <c r="A32" t="s">
        <v>50</v>
      </c>
      <c r="B32" t="s">
        <v>51</v>
      </c>
      <c r="C32" s="18">
        <v>36.444963999999999</v>
      </c>
      <c r="D32" s="18">
        <v>28.230091999999999</v>
      </c>
    </row>
    <row r="33" spans="1:4" x14ac:dyDescent="0.25">
      <c r="A33" t="s">
        <v>135</v>
      </c>
      <c r="B33" t="s">
        <v>136</v>
      </c>
      <c r="C33" s="18">
        <v>35.314</v>
      </c>
      <c r="D33" s="18">
        <v>26.311399999999999</v>
      </c>
    </row>
    <row r="34" spans="1:4" x14ac:dyDescent="0.25">
      <c r="A34" t="s">
        <v>37</v>
      </c>
      <c r="B34" t="s">
        <v>38</v>
      </c>
      <c r="C34" s="18">
        <v>36.119233000000001</v>
      </c>
      <c r="D34" s="18">
        <v>35.922154999999997</v>
      </c>
    </row>
    <row r="35" spans="1:4" x14ac:dyDescent="0.25">
      <c r="A35" t="s">
        <v>30</v>
      </c>
      <c r="B35" t="s">
        <v>31</v>
      </c>
      <c r="C35" s="18">
        <v>33.564495000000001</v>
      </c>
      <c r="D35" s="18">
        <v>35.368274999999997</v>
      </c>
    </row>
    <row r="36" spans="1:4" x14ac:dyDescent="0.25">
      <c r="A36" t="s">
        <v>59</v>
      </c>
      <c r="B36" t="s">
        <v>36</v>
      </c>
      <c r="C36" s="18">
        <v>33.276017000000003</v>
      </c>
      <c r="D36" s="18">
        <v>35.195343999999999</v>
      </c>
    </row>
    <row r="37" spans="1:4" x14ac:dyDescent="0.25">
      <c r="A37" t="s">
        <v>110</v>
      </c>
      <c r="B37" t="s">
        <v>109</v>
      </c>
      <c r="C37" s="18">
        <v>37.788296000000003</v>
      </c>
      <c r="D37" s="18">
        <v>20.898833</v>
      </c>
    </row>
  </sheetData>
  <sortState xmlns:xlrd2="http://schemas.microsoft.com/office/spreadsheetml/2017/richdata2" ref="A4:D36">
    <sortCondition ref="A4:A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2020-03-20T18:39:26Z</dcterms:modified>
</cp:coreProperties>
</file>