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4" documentId="8_{3FB36E96-4EF8-466C-935C-90D45728B0B8}" xr6:coauthVersionLast="45" xr6:coauthVersionMax="45" xr10:uidLastSave="{094F98EA-1408-47CA-8223-09BB20301718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0" l="1"/>
  <c r="A4" i="10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C28" i="6" s="1"/>
  <c r="H72" i="3"/>
  <c r="E20" i="3" s="1"/>
  <c r="E21" i="3" s="1"/>
  <c r="B29" i="6" s="1"/>
  <c r="E20" i="11" l="1"/>
  <c r="D28" i="6" s="1"/>
  <c r="E21" i="10"/>
  <c r="C29" i="6" s="1"/>
  <c r="B28" i="6"/>
  <c r="E21" i="11" l="1"/>
  <c r="D29" i="6" s="1"/>
  <c r="E28" i="6"/>
  <c r="E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<sst xmlns="http://schemas.openxmlformats.org/spreadsheetml/2006/main" count="2404" uniqueCount="204">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</sst>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Pachyno</v>
      </c>
      <c r="C3" s="81" t="str">
        <f>IF(Segment2!$D$4="","",B4)</f>
        <v/>
      </c>
      <c r="D3" s="81" t="str">
        <f>IF(Segment3!$D$4="","",C4)</f>
        <v/>
      </c>
      <c r="E3" s="57" t="str">
        <f>B3</f>
        <v>Pachyno</v>
      </c>
    </row>
    <row r="4" spans="1:5" s="57" customFormat="1" x14ac:dyDescent="0.25">
      <c r="A4" s="57" t="s">
        <v>25</v>
      </c>
      <c r="B4" s="81" t="str">
        <f>Segment1!$D$4</f>
        <v>Tainaron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Tainaron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354.70228764359422</v>
      </c>
      <c r="C6" s="56">
        <f>IFERROR(Segment2!$E$14,0)</f>
        <v>0</v>
      </c>
      <c r="D6" s="56">
        <f>IFERROR(Segment3!$E$14,0)</f>
        <v>0</v>
      </c>
      <c r="E6" s="56">
        <f>SUM(B6:D6)</f>
        <v>354.70228764359422</v>
      </c>
    </row>
    <row r="7" spans="1:5" x14ac:dyDescent="0.25">
      <c r="A7" s="57" t="s">
        <v>124</v>
      </c>
      <c r="B7" s="11">
        <f>Segment1!$A6</f>
        <v>3716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3717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3718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3719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3720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3721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3721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3721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3721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3721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3721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3721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3721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3721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3721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3721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3721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3721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3721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3721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365.43531425203946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365.43531425203946</v>
      </c>
    </row>
    <row r="28" spans="1:5" x14ac:dyDescent="0.25">
      <c r="A28" s="57" t="s">
        <v>85</v>
      </c>
      <c r="B28" s="65">
        <f>Segment1!$E$20</f>
        <v>82.080234203169439</v>
      </c>
      <c r="C28" s="65">
        <f>IFERROR(Segment2!$E$20,0)</f>
        <v>0</v>
      </c>
      <c r="D28" s="65">
        <f>IFERROR(Segment3!$E$20,0)</f>
        <v>0</v>
      </c>
      <c r="E28" s="65">
        <f t="shared" si="0"/>
        <v>82.080234203169439</v>
      </c>
    </row>
    <row r="29" spans="1:5" x14ac:dyDescent="0.25">
      <c r="A29" s="57" t="s">
        <v>88</v>
      </c>
      <c r="B29" s="48">
        <f>Segment1!$E$21</f>
        <v>4.4521719242113047</v>
      </c>
      <c r="C29" s="48">
        <f>IFERROR(Segment2!$E$21,0)</f>
        <v>0</v>
      </c>
      <c r="D29" s="48">
        <f>IFERROR(Segment3!$E$21,0)</f>
        <v>0</v>
      </c>
      <c r="E29" s="48">
        <f>E27/E28</f>
        <v>4.4521719242113047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163</v>
      </c>
      <c r="B4" s="8">
        <f>VLOOKUP(A4,Harbours!A4:D148,3,FALSE)</f>
        <v>36.678652999999997</v>
      </c>
      <c r="C4" s="8">
        <f>VLOOKUP(A4,Harbours!A4:D148,4,FALSE)</f>
        <v>15.139942</v>
      </c>
      <c r="D4" s="12" t="s">
        <v>170</v>
      </c>
      <c r="E4" s="8">
        <f>VLOOKUP(D4,Harbours!A4:D148,3,FALSE)</f>
        <v>36.401699999999998</v>
      </c>
      <c r="F4" s="8">
        <f>VLOOKUP(D4,Harbours!A4:D148,4,FALSE)</f>
        <v>22.486699999999999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3716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3717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3718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3719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3720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3721</v>
      </c>
      <c r="B11" s="64" t="str">
        <f>VLOOKUP($A11,ShipSpeeds!$A$7:$J$888,10,FALSE)</f>
        <v>ok</v>
      </c>
      <c r="H11" s="14"/>
    </row>
    <row r="12" spans="1:10" x14ac:dyDescent="0.25">
      <c r="A12" s="3">
        <v>3721</v>
      </c>
      <c r="B12" s="64" t="str">
        <f>VLOOKUP($A12,ShipSpeeds!$A$7:$J$888,10,FALSE)</f>
        <v>ok</v>
      </c>
    </row>
    <row r="13" spans="1:10" ht="15.75" thickBot="1" x14ac:dyDescent="0.3">
      <c r="A13" s="3">
        <v>3721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354.70228764359422</v>
      </c>
      <c r="G14" s="41"/>
      <c r="H14" s="14"/>
      <c r="I14" s="40"/>
      <c r="J14" s="14"/>
    </row>
    <row r="15" spans="1:10" ht="15.75" thickBot="1" x14ac:dyDescent="0.3">
      <c r="A15" s="3">
        <v>3721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90.493641664380618</v>
      </c>
      <c r="G15" s="41"/>
      <c r="H15" s="14"/>
      <c r="I15" s="40"/>
      <c r="J15" s="14"/>
    </row>
    <row r="16" spans="1:10" x14ac:dyDescent="0.25">
      <c r="A16" s="3">
        <v>3721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365.43531425203946</v>
      </c>
      <c r="H19" s="14"/>
    </row>
    <row r="20" spans="1:8" x14ac:dyDescent="0.25">
      <c r="A20" s="3">
        <v>3721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82.080234203169439</v>
      </c>
      <c r="H20" s="14"/>
    </row>
    <row r="21" spans="1:8" ht="15.75" thickBot="1" x14ac:dyDescent="0.3">
      <c r="A21" s="3">
        <v>3721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4.4521719242113047</v>
      </c>
      <c r="H21" s="14"/>
    </row>
    <row r="22" spans="1:8" x14ac:dyDescent="0.25">
      <c r="A22" s="3">
        <v>3721</v>
      </c>
      <c r="B22" s="64" t="str">
        <f>VLOOKUP($A22,ShipSpeeds!$A$7:$J$888,10,FALSE)</f>
        <v>ok</v>
      </c>
      <c r="H22" s="14"/>
    </row>
    <row r="23" spans="1:8" x14ac:dyDescent="0.25">
      <c r="A23" s="3">
        <v>3721</v>
      </c>
      <c r="B23" s="64" t="str">
        <f>VLOOKUP($A23,ShipSpeeds!$A$7:$J$888,10,FALSE)</f>
        <v>ok</v>
      </c>
      <c r="H23" s="14"/>
    </row>
    <row r="24" spans="1:8" x14ac:dyDescent="0.25">
      <c r="A24" s="3">
        <v>3721</v>
      </c>
      <c r="B24" s="64" t="str">
        <f>VLOOKUP($A24,ShipSpeeds!$A$7:$J$888,10,FALSE)</f>
        <v>ok</v>
      </c>
      <c r="H24" s="14"/>
    </row>
    <row r="25" spans="1:8" x14ac:dyDescent="0.25">
      <c r="A25" s="3">
        <v>3721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36.678652999999997</v>
      </c>
      <c r="C29" s="39">
        <f>C4</f>
        <v>15.139942</v>
      </c>
      <c r="D29" s="38">
        <f>D30</f>
        <v>64.71680841757879</v>
      </c>
      <c r="E29" s="37"/>
      <c r="F29" s="37">
        <f>F30</f>
        <v>37164</v>
      </c>
      <c r="G29" s="37"/>
      <c r="H29" s="37"/>
    </row>
    <row r="30" spans="1:8" s="3" customFormat="1" x14ac:dyDescent="0.25">
      <c r="A30" s="36">
        <f>A6</f>
        <v>3716</v>
      </c>
      <c r="B30" s="26">
        <f>INT(A30/100)</f>
        <v>37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64.71680841757879</v>
      </c>
      <c r="E30" s="30">
        <f>ACOS(SIN(RADIANS(B29))*SIN(RADIANS(B30))+COS(RADIANS(B29))*COS(RADIANS(B30))*COS((RADIANS(C30-C29))))*6371/1.852</f>
        <v>45.608781757355615</v>
      </c>
      <c r="F30" s="26">
        <f>A30*10+$C$2</f>
        <v>37164</v>
      </c>
      <c r="G30" s="31">
        <f>IFERROR(Interpol1!C4,"")</f>
        <v>3.8385093223064959</v>
      </c>
      <c r="H30" s="30">
        <f>IFERROR(E30/G30,"")</f>
        <v>11.881899437448823</v>
      </c>
    </row>
    <row r="31" spans="1:8" s="3" customFormat="1" x14ac:dyDescent="0.25">
      <c r="A31" s="34">
        <f>A30</f>
        <v>3716</v>
      </c>
      <c r="B31" s="32">
        <f t="shared" ref="B31:B60" si="0">INT(A31/100)</f>
        <v>37</v>
      </c>
      <c r="C31" s="32">
        <f t="shared" ref="C31:C60" si="1">A31-B31*100</f>
        <v>16</v>
      </c>
      <c r="D31" s="35">
        <f>D32</f>
        <v>89.699087616395914</v>
      </c>
      <c r="E31" s="35">
        <f>E32</f>
        <v>23.975110345499665</v>
      </c>
      <c r="F31" s="32">
        <f t="shared" ref="F31:F60" si="2">A31*10+$C$2</f>
        <v>37164</v>
      </c>
      <c r="G31" s="33">
        <f>IFERROR(Interpol1!C5,"")</f>
        <v>4.0062792061705519</v>
      </c>
      <c r="H31" s="35">
        <f t="shared" ref="H31:H32" si="3">IFERROR(E31/G31,"")</f>
        <v>5.9843832922510041</v>
      </c>
    </row>
    <row r="32" spans="1:8" s="3" customFormat="1" x14ac:dyDescent="0.25">
      <c r="A32" s="36">
        <f>A7</f>
        <v>3717</v>
      </c>
      <c r="B32" s="26">
        <f t="shared" si="0"/>
        <v>37</v>
      </c>
      <c r="C32" s="26">
        <f t="shared" si="1"/>
        <v>17</v>
      </c>
      <c r="D32" s="30">
        <f>IFERROR(DEGREES(MOD(ATAN2(COS(RADIANS(B31))*SIN(RADIANS(B32))-SIN(RADIANS(B31))*COS(RADIANS(B32))*COS(RADIANS(C32-C31)),SIN(RADIANS(C32-C31))*COS(RADIANS(B32))),2*PI())),"")</f>
        <v>89.699087616395914</v>
      </c>
      <c r="E32" s="30">
        <f>ACOS(SIN(RADIANS(B31))*SIN(RADIANS(B32))+COS(RADIANS(B31))*COS(RADIANS(B32))*COS((RADIANS(C32-C31))))*6371/1.852/2</f>
        <v>23.975110345499665</v>
      </c>
      <c r="F32" s="26">
        <f t="shared" si="2"/>
        <v>37174</v>
      </c>
      <c r="G32" s="31">
        <f>IFERROR(Interpol1!C6,"")</f>
        <v>4.3669255273847201</v>
      </c>
      <c r="H32" s="30">
        <f t="shared" si="3"/>
        <v>5.4901578227412466</v>
      </c>
    </row>
    <row r="33" spans="1:8" s="3" customFormat="1" x14ac:dyDescent="0.25">
      <c r="A33" s="34">
        <f>A32</f>
        <v>3717</v>
      </c>
      <c r="B33" s="32">
        <f t="shared" si="0"/>
        <v>37</v>
      </c>
      <c r="C33" s="32">
        <f t="shared" si="1"/>
        <v>17</v>
      </c>
      <c r="D33" s="35">
        <f>D34</f>
        <v>89.699087616395914</v>
      </c>
      <c r="E33" s="35">
        <f>E34</f>
        <v>23.975110345499665</v>
      </c>
      <c r="F33" s="32">
        <f t="shared" si="2"/>
        <v>37174</v>
      </c>
      <c r="G33" s="33">
        <f>IFERROR(Interpol1!C7,"")</f>
        <v>4.3669255273847201</v>
      </c>
      <c r="H33" s="35">
        <f t="shared" ref="H33:H70" si="4">IFERROR(E33/G33,"")</f>
        <v>5.4901578227412466</v>
      </c>
    </row>
    <row r="34" spans="1:8" s="3" customFormat="1" x14ac:dyDescent="0.25">
      <c r="A34" s="36">
        <f>A8</f>
        <v>3718</v>
      </c>
      <c r="B34" s="26">
        <f t="shared" si="0"/>
        <v>37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89.699087616395914</v>
      </c>
      <c r="E34" s="30">
        <f>ACOS(SIN(RADIANS(B33))*SIN(RADIANS(B34))+COS(RADIANS(B33))*COS(RADIANS(B34))*COS((RADIANS(C34-C33))))*6371/1.852/2</f>
        <v>23.975110345499665</v>
      </c>
      <c r="F34" s="26">
        <f t="shared" si="2"/>
        <v>37184</v>
      </c>
      <c r="G34" s="31">
        <f>IFERROR(Interpol1!C8,"")</f>
        <v>4.5113790229195843</v>
      </c>
      <c r="H34" s="30">
        <f t="shared" si="4"/>
        <v>5.3143640167888027</v>
      </c>
    </row>
    <row r="35" spans="1:8" s="3" customFormat="1" x14ac:dyDescent="0.25">
      <c r="A35" s="34">
        <f>A34</f>
        <v>3718</v>
      </c>
      <c r="B35" s="32">
        <f t="shared" si="0"/>
        <v>37</v>
      </c>
      <c r="C35" s="32">
        <f t="shared" si="1"/>
        <v>18</v>
      </c>
      <c r="D35" s="35">
        <f>D36</f>
        <v>89.699087616395914</v>
      </c>
      <c r="E35" s="35">
        <f>E36</f>
        <v>23.975110345499665</v>
      </c>
      <c r="F35" s="32">
        <f t="shared" si="2"/>
        <v>37184</v>
      </c>
      <c r="G35" s="33">
        <f>IFERROR(Interpol1!C9,"")</f>
        <v>4.5113790229195843</v>
      </c>
      <c r="H35" s="35">
        <f t="shared" si="4"/>
        <v>5.3143640167888027</v>
      </c>
    </row>
    <row r="36" spans="1:8" s="3" customFormat="1" x14ac:dyDescent="0.25">
      <c r="A36" s="36">
        <f>A9</f>
        <v>3719</v>
      </c>
      <c r="B36" s="26">
        <f t="shared" si="0"/>
        <v>37</v>
      </c>
      <c r="C36" s="26">
        <f t="shared" si="1"/>
        <v>19</v>
      </c>
      <c r="D36" s="30">
        <f>IFERROR(DEGREES(MOD(ATAN2(COS(RADIANS(B35))*SIN(RADIANS(B36))-SIN(RADIANS(B35))*COS(RADIANS(B36))*COS(RADIANS(C36-C35)),SIN(RADIANS(C36-C35))*COS(RADIANS(B36))),2*PI())),"")</f>
        <v>89.699087616395914</v>
      </c>
      <c r="E36" s="30">
        <f>ACOS(SIN(RADIANS(B35))*SIN(RADIANS(B36))+COS(RADIANS(B35))*COS(RADIANS(B36))*COS((RADIANS(C36-C35))))*6371/1.852/2</f>
        <v>23.975110345499665</v>
      </c>
      <c r="F36" s="26">
        <f t="shared" si="2"/>
        <v>37194</v>
      </c>
      <c r="G36" s="31">
        <f>IFERROR(Interpol1!C10,"")</f>
        <v>4.6791488088687041</v>
      </c>
      <c r="H36" s="30">
        <f t="shared" si="4"/>
        <v>5.1238187381555447</v>
      </c>
    </row>
    <row r="37" spans="1:8" s="3" customFormat="1" x14ac:dyDescent="0.25">
      <c r="A37" s="34">
        <f>A36</f>
        <v>3719</v>
      </c>
      <c r="B37" s="32">
        <f t="shared" si="0"/>
        <v>37</v>
      </c>
      <c r="C37" s="32">
        <f t="shared" si="1"/>
        <v>19</v>
      </c>
      <c r="D37" s="35">
        <f>D38</f>
        <v>89.699087616395914</v>
      </c>
      <c r="E37" s="35">
        <f>E38</f>
        <v>23.975110345499665</v>
      </c>
      <c r="F37" s="32">
        <f t="shared" si="2"/>
        <v>37194</v>
      </c>
      <c r="G37" s="33">
        <f>IFERROR(Interpol1!C11,"")</f>
        <v>4.6791488088687041</v>
      </c>
      <c r="H37" s="35">
        <f t="shared" si="4"/>
        <v>5.1238187381555447</v>
      </c>
    </row>
    <row r="38" spans="1:8" s="3" customFormat="1" x14ac:dyDescent="0.25">
      <c r="A38" s="36">
        <f>A10</f>
        <v>3720</v>
      </c>
      <c r="B38" s="26">
        <f t="shared" si="0"/>
        <v>37</v>
      </c>
      <c r="C38" s="26">
        <f t="shared" si="1"/>
        <v>20</v>
      </c>
      <c r="D38" s="30">
        <f>IFERROR(DEGREES(MOD(ATAN2(COS(RADIANS(B37))*SIN(RADIANS(B38))-SIN(RADIANS(B37))*COS(RADIANS(B38))*COS(RADIANS(C38-C37)),SIN(RADIANS(C38-C37))*COS(RADIANS(B38))),2*PI())),"")</f>
        <v>89.699087616395914</v>
      </c>
      <c r="E38" s="30">
        <f>ACOS(SIN(RADIANS(B37))*SIN(RADIANS(B38))+COS(RADIANS(B37))*COS(RADIANS(B38))*COS((RADIANS(C38-C37))))*6371/1.852/2</f>
        <v>23.975110345499665</v>
      </c>
      <c r="F38" s="26">
        <f t="shared" si="2"/>
        <v>37204</v>
      </c>
      <c r="G38" s="31">
        <f>IFERROR(Interpol1!C12,"")</f>
        <v>5.150918838507244</v>
      </c>
      <c r="H38" s="30">
        <f t="shared" si="4"/>
        <v>4.6545307928881563</v>
      </c>
    </row>
    <row r="39" spans="1:8" s="3" customFormat="1" x14ac:dyDescent="0.25">
      <c r="A39" s="34">
        <f>A38</f>
        <v>3720</v>
      </c>
      <c r="B39" s="32">
        <f t="shared" si="0"/>
        <v>37</v>
      </c>
      <c r="C39" s="32">
        <f t="shared" si="1"/>
        <v>20</v>
      </c>
      <c r="D39" s="35">
        <f>D40</f>
        <v>89.699087616395914</v>
      </c>
      <c r="E39" s="35">
        <f>E40</f>
        <v>23.975110345499665</v>
      </c>
      <c r="F39" s="32">
        <f t="shared" si="2"/>
        <v>37204</v>
      </c>
      <c r="G39" s="33">
        <f>IFERROR(Interpol1!C13,"")</f>
        <v>5.150918838507244</v>
      </c>
      <c r="H39" s="35">
        <f t="shared" si="4"/>
        <v>4.6545307928881563</v>
      </c>
    </row>
    <row r="40" spans="1:8" s="3" customFormat="1" x14ac:dyDescent="0.25">
      <c r="A40" s="36">
        <f>A11</f>
        <v>3721</v>
      </c>
      <c r="B40" s="26">
        <f t="shared" ref="B40:B46" si="5">INT(A40/100)</f>
        <v>37</v>
      </c>
      <c r="C40" s="26">
        <f t="shared" ref="C40:C46" si="6">A40-B40*100</f>
        <v>21</v>
      </c>
      <c r="D40" s="30">
        <f>IFERROR(DEGREES(MOD(ATAN2(COS(RADIANS(B39))*SIN(RADIANS(B40))-SIN(RADIANS(B39))*COS(RADIANS(B40))*COS(RADIANS(C40-C39)),SIN(RADIANS(C40-C39))*COS(RADIANS(B40))),2*PI())),"")</f>
        <v>89.699087616395914</v>
      </c>
      <c r="E40" s="30">
        <f>ACOS(SIN(RADIANS(B39))*SIN(RADIANS(B40))+COS(RADIANS(B39))*COS(RADIANS(B40))*COS((RADIANS(C40-C39))))*6371/1.852/2</f>
        <v>23.975110345499665</v>
      </c>
      <c r="F40" s="26">
        <f t="shared" ref="F40:F46" si="7">A40*10+$C$2</f>
        <v>37214</v>
      </c>
      <c r="G40" s="31">
        <f>IFERROR(Interpol1!C14,"")</f>
        <v>4.5886888077073325</v>
      </c>
      <c r="H40" s="30">
        <f t="shared" si="4"/>
        <v>5.2248281263332084</v>
      </c>
    </row>
    <row r="41" spans="1:8" s="3" customFormat="1" x14ac:dyDescent="0.25">
      <c r="A41" s="34">
        <f>A40</f>
        <v>3721</v>
      </c>
      <c r="B41" s="32">
        <f t="shared" si="5"/>
        <v>37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37214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3721</v>
      </c>
      <c r="B42" s="26">
        <f t="shared" si="5"/>
        <v>37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3721</v>
      </c>
      <c r="B43" s="32">
        <f t="shared" si="5"/>
        <v>37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37214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3721</v>
      </c>
      <c r="B44" s="26">
        <f t="shared" si="5"/>
        <v>37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3721</v>
      </c>
      <c r="B45" s="32">
        <f t="shared" si="5"/>
        <v>37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37214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3721</v>
      </c>
      <c r="B46" s="26">
        <f t="shared" si="5"/>
        <v>37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3721</v>
      </c>
      <c r="B47" s="32">
        <f t="shared" si="0"/>
        <v>37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37214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3721</v>
      </c>
      <c r="B48" s="26">
        <f t="shared" si="0"/>
        <v>37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3721</v>
      </c>
      <c r="B49" s="32">
        <f t="shared" si="0"/>
        <v>37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37214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3721</v>
      </c>
      <c r="B50" s="26">
        <f t="shared" si="0"/>
        <v>37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3721</v>
      </c>
      <c r="B51" s="32">
        <f t="shared" si="0"/>
        <v>37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37214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3721</v>
      </c>
      <c r="B52" s="26">
        <f t="shared" ref="B52:B53" si="8">INT(A52/100)</f>
        <v>37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3721</v>
      </c>
      <c r="B53" s="32">
        <f t="shared" si="8"/>
        <v>37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37214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3721</v>
      </c>
      <c r="B54" s="26">
        <f t="shared" si="0"/>
        <v>37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3721</v>
      </c>
      <c r="B55" s="32">
        <f t="shared" si="0"/>
        <v>37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37214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3721</v>
      </c>
      <c r="B56" s="26">
        <f t="shared" si="0"/>
        <v>37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3721</v>
      </c>
      <c r="B57" s="32">
        <f t="shared" si="0"/>
        <v>37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37214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3721</v>
      </c>
      <c r="B58" s="26">
        <f t="shared" si="0"/>
        <v>37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3721</v>
      </c>
      <c r="B59" s="32">
        <f t="shared" si="0"/>
        <v>37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37214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3721</v>
      </c>
      <c r="B60" s="26">
        <f t="shared" si="0"/>
        <v>37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3721</v>
      </c>
      <c r="B61" s="32">
        <f t="shared" ref="B61:B69" si="11">INT(A61/100)</f>
        <v>37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37214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3721</v>
      </c>
      <c r="B62" s="26">
        <f t="shared" si="11"/>
        <v>37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3721</v>
      </c>
      <c r="B63" s="32">
        <f t="shared" si="11"/>
        <v>37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37214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3721</v>
      </c>
      <c r="B64" s="26">
        <f t="shared" si="11"/>
        <v>37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3721</v>
      </c>
      <c r="B65" s="32">
        <f t="shared" si="11"/>
        <v>37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37214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3721</v>
      </c>
      <c r="B66" s="26">
        <f t="shared" si="11"/>
        <v>37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3721</v>
      </c>
      <c r="B67" s="32">
        <f t="shared" si="11"/>
        <v>37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37214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3721</v>
      </c>
      <c r="B68" s="26">
        <f t="shared" si="11"/>
        <v>37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3721</v>
      </c>
      <c r="B69" s="32">
        <f t="shared" si="11"/>
        <v>37</v>
      </c>
      <c r="C69" s="32">
        <f t="shared" si="12"/>
        <v>21</v>
      </c>
      <c r="D69" s="35">
        <f>D70</f>
        <v>116.2080141187451</v>
      </c>
      <c r="E69" s="35">
        <f>E70</f>
        <v>40.037714519843576</v>
      </c>
      <c r="F69" s="32">
        <f t="shared" si="13"/>
        <v>37214</v>
      </c>
      <c r="G69" s="33">
        <f>IFERROR(Interpol1!C43,"")</f>
        <v>4.4927183461918938</v>
      </c>
      <c r="H69" s="35">
        <f t="shared" si="4"/>
        <v>8.9116903029944528</v>
      </c>
    </row>
    <row r="70" spans="1:11" x14ac:dyDescent="0.25">
      <c r="A70" s="39" t="s">
        <v>67</v>
      </c>
      <c r="B70" s="39">
        <f>E4</f>
        <v>36.401699999999998</v>
      </c>
      <c r="C70" s="39">
        <f>F4</f>
        <v>22.486699999999999</v>
      </c>
      <c r="D70" s="38">
        <f>DEGREES(MOD(ATAN2(COS(RADIANS(B69))*SIN(RADIANS(B70))-SIN(RADIANS(B69))*COS(RADIANS(B70))*COS(RADIANS(C70-C69)),SIN(RADIANS(C70-C69))*COS(RADIANS(B70))),2*PI()))</f>
        <v>116.2080141187451</v>
      </c>
      <c r="E70" s="38">
        <f>ACOS(SIN(RADIANS(B55))*SIN(RADIANS(B70))+COS(RADIANS(B55))*COS(RADIANS(B70))*COS((RADIANS(C70-C55))))*6371/1.852/2</f>
        <v>40.037714519843576</v>
      </c>
      <c r="F70" s="38">
        <f>F54</f>
        <v>37214</v>
      </c>
      <c r="G70" s="39">
        <f>IFERROR(Interpol1!C44,"")</f>
        <v>4.4927183461918938</v>
      </c>
      <c r="H70" s="38">
        <f t="shared" si="4"/>
        <v>8.9116903029944528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365.43531425203946</v>
      </c>
      <c r="F72" s="43"/>
      <c r="G72" s="46" t="s">
        <v>79</v>
      </c>
      <c r="H72" s="45">
        <f>SUM(H30:H70)</f>
        <v>82.080234203169439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38204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 t="e">
        <f>D70</f>
        <v>#N/A</v>
      </c>
      <c r="E69" s="35" t="e">
        <f>E70</f>
        <v>#N/A</v>
      </c>
      <c r="F69" s="32">
        <f t="shared" si="2"/>
        <v>38174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38174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49.401167183110644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64.71680841757879</v>
      </c>
      <c r="B4" s="24">
        <f>Segment1!F30</f>
        <v>37164</v>
      </c>
      <c r="C4" s="29">
        <f>SUM(M4:T4)</f>
        <v>3.8385093223064959</v>
      </c>
      <c r="D4" s="8">
        <f>VLOOKUP($B4,ShipSpeeds!$A$7:$I$888,2,FALSE)</f>
        <v>3.3089999999999997</v>
      </c>
      <c r="E4" s="8">
        <f>VLOOKUP($B4,ShipSpeeds!$A$7:$I$888,3,FALSE)</f>
        <v>3.7061000000000002</v>
      </c>
      <c r="F4" s="8">
        <f>VLOOKUP($B4,ShipSpeeds!$A$7:$I$888,4,FALSE)</f>
        <v>4.0083000000000002</v>
      </c>
      <c r="G4" s="8">
        <f>VLOOKUP($B4,ShipSpeeds!$A$7:$I$888,5,FALSE)</f>
        <v>3.8776999999999999</v>
      </c>
      <c r="H4" s="8">
        <f>VLOOKUP($B4,ShipSpeeds!$A$7:$I$888,6,FALSE)</f>
        <v>3.5149999999999997</v>
      </c>
      <c r="I4" s="8">
        <f>VLOOKUP($B4,ShipSpeeds!$A$7:$I$888,7,FALSE)</f>
        <v>3.1563999999999997</v>
      </c>
      <c r="J4" s="8">
        <f>VLOOKUP($B4,ShipSpeeds!$A$7:$I$888,8,FALSE)</f>
        <v>3.0864999999999996</v>
      </c>
      <c r="K4" s="8">
        <f>VLOOKUP($B4,ShipSpeeds!$A$7:$I$888,9,FALSE)</f>
        <v>3.0503</v>
      </c>
      <c r="L4" s="47">
        <f>VLOOKUP($B4,ShipSpeeds!$A$7:$I$888,2,FALSE)</f>
        <v>3.3089999999999997</v>
      </c>
      <c r="M4" s="8">
        <f t="shared" ref="M4:R4" si="0">IF(AND($A4&gt;=D$2,$A4&lt;E$2),D4+($A4-D$2)*(E4-D4)/(E$2-D$2),0)</f>
        <v>0</v>
      </c>
      <c r="N4" s="8">
        <f t="shared" si="0"/>
        <v>3.8385093223064959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89.699087616395914</v>
      </c>
      <c r="B5" s="24">
        <f>Segment1!F31</f>
        <v>37164</v>
      </c>
      <c r="C5" s="29">
        <f t="shared" ref="C5:C44" si="1">SUM(M5:T5)</f>
        <v>4.0062792061705519</v>
      </c>
      <c r="D5" s="8">
        <f>VLOOKUP($B5,ShipSpeeds!$A$7:$I$888,2,FALSE)</f>
        <v>3.3089999999999997</v>
      </c>
      <c r="E5" s="8">
        <f>VLOOKUP($B5,ShipSpeeds!$A$7:$I$888,3,FALSE)</f>
        <v>3.7061000000000002</v>
      </c>
      <c r="F5" s="8">
        <f>VLOOKUP($B5,ShipSpeeds!$A$7:$I$888,4,FALSE)</f>
        <v>4.0083000000000002</v>
      </c>
      <c r="G5" s="8">
        <f>VLOOKUP($B5,ShipSpeeds!$A$7:$I$888,5,FALSE)</f>
        <v>3.8776999999999999</v>
      </c>
      <c r="H5" s="8">
        <f>VLOOKUP($B5,ShipSpeeds!$A$7:$I$888,6,FALSE)</f>
        <v>3.5149999999999997</v>
      </c>
      <c r="I5" s="8">
        <f>VLOOKUP($B5,ShipSpeeds!$A$7:$I$888,7,FALSE)</f>
        <v>3.1563999999999997</v>
      </c>
      <c r="J5" s="8">
        <f>VLOOKUP($B5,ShipSpeeds!$A$7:$I$888,8,FALSE)</f>
        <v>3.0864999999999996</v>
      </c>
      <c r="K5" s="8">
        <f>VLOOKUP($B5,ShipSpeeds!$A$7:$I$888,9,FALSE)</f>
        <v>3.0503</v>
      </c>
      <c r="L5" s="47">
        <f>VLOOKUP($B5,ShipSpeeds!$A$7:$I$888,2,FALSE)</f>
        <v>3.3089999999999997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4.0062792061705519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89.699087616395914</v>
      </c>
      <c r="B6" s="24">
        <f>Segment1!F32</f>
        <v>37174</v>
      </c>
      <c r="C6" s="29">
        <f t="shared" si="1"/>
        <v>4.3669255273847201</v>
      </c>
      <c r="D6" s="8">
        <f>VLOOKUP($B6,ShipSpeeds!$A$7:$I$888,2,FALSE)</f>
        <v>3.3616999999999999</v>
      </c>
      <c r="E6" s="8">
        <f>VLOOKUP($B6,ShipSpeeds!$A$7:$I$888,3,FALSE)</f>
        <v>3.9844999999999997</v>
      </c>
      <c r="F6" s="8">
        <f>VLOOKUP($B6,ShipSpeeds!$A$7:$I$888,4,FALSE)</f>
        <v>4.3694999999999995</v>
      </c>
      <c r="G6" s="8">
        <f>VLOOKUP($B6,ShipSpeeds!$A$7:$I$888,5,FALSE)</f>
        <v>4.2742000000000004</v>
      </c>
      <c r="H6" s="8">
        <f>VLOOKUP($B6,ShipSpeeds!$A$7:$I$888,6,FALSE)</f>
        <v>3.9348999999999998</v>
      </c>
      <c r="I6" s="8">
        <f>VLOOKUP($B6,ShipSpeeds!$A$7:$I$888,7,FALSE)</f>
        <v>3.2961999999999998</v>
      </c>
      <c r="J6" s="8">
        <f>VLOOKUP($B6,ShipSpeeds!$A$7:$I$888,8,FALSE)</f>
        <v>2.8895</v>
      </c>
      <c r="K6" s="8">
        <f>VLOOKUP($B6,ShipSpeeds!$A$7:$I$888,9,FALSE)</f>
        <v>2.7953999999999999</v>
      </c>
      <c r="L6" s="47">
        <f>VLOOKUP($B6,ShipSpeeds!$A$7:$I$888,2,FALSE)</f>
        <v>3.3616999999999999</v>
      </c>
      <c r="M6" s="8">
        <f t="shared" si="2"/>
        <v>0</v>
      </c>
      <c r="N6" s="8">
        <f t="shared" si="3"/>
        <v>4.3669255273847201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89.699087616395914</v>
      </c>
      <c r="B7" s="24">
        <f>Segment1!F33</f>
        <v>37174</v>
      </c>
      <c r="C7" s="29">
        <f t="shared" si="1"/>
        <v>4.3669255273847201</v>
      </c>
      <c r="D7" s="8">
        <f>VLOOKUP($B7,ShipSpeeds!$A$7:$I$888,2,FALSE)</f>
        <v>3.3616999999999999</v>
      </c>
      <c r="E7" s="8">
        <f>VLOOKUP($B7,ShipSpeeds!$A$7:$I$888,3,FALSE)</f>
        <v>3.9844999999999997</v>
      </c>
      <c r="F7" s="8">
        <f>VLOOKUP($B7,ShipSpeeds!$A$7:$I$888,4,FALSE)</f>
        <v>4.3694999999999995</v>
      </c>
      <c r="G7" s="8">
        <f>VLOOKUP($B7,ShipSpeeds!$A$7:$I$888,5,FALSE)</f>
        <v>4.2742000000000004</v>
      </c>
      <c r="H7" s="8">
        <f>VLOOKUP($B7,ShipSpeeds!$A$7:$I$888,6,FALSE)</f>
        <v>3.9348999999999998</v>
      </c>
      <c r="I7" s="8">
        <f>VLOOKUP($B7,ShipSpeeds!$A$7:$I$888,7,FALSE)</f>
        <v>3.2961999999999998</v>
      </c>
      <c r="J7" s="8">
        <f>VLOOKUP($B7,ShipSpeeds!$A$7:$I$888,8,FALSE)</f>
        <v>2.8895</v>
      </c>
      <c r="K7" s="8">
        <f>VLOOKUP($B7,ShipSpeeds!$A$7:$I$888,9,FALSE)</f>
        <v>2.7953999999999999</v>
      </c>
      <c r="L7" s="47">
        <f>VLOOKUP($B7,ShipSpeeds!$A$7:$I$888,2,FALSE)</f>
        <v>3.3616999999999999</v>
      </c>
      <c r="M7" s="8">
        <f t="shared" si="2"/>
        <v>0</v>
      </c>
      <c r="N7" s="8">
        <f t="shared" si="3"/>
        <v>4.3669255273847201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89.699087616395914</v>
      </c>
      <c r="B8" s="24">
        <f>Segment1!F34</f>
        <v>37184</v>
      </c>
      <c r="C8" s="29">
        <f t="shared" si="1"/>
        <v>4.5113790229195843</v>
      </c>
      <c r="D8" s="8">
        <f>VLOOKUP($B8,ShipSpeeds!$A$7:$I$888,2,FALSE)</f>
        <v>3.2982999999999998</v>
      </c>
      <c r="E8" s="8">
        <f>VLOOKUP($B8,ShipSpeeds!$A$7:$I$888,3,FALSE)</f>
        <v>4.1368999999999998</v>
      </c>
      <c r="F8" s="8">
        <f>VLOOKUP($B8,ShipSpeeds!$A$7:$I$888,4,FALSE)</f>
        <v>4.5139000000000005</v>
      </c>
      <c r="G8" s="8">
        <f>VLOOKUP($B8,ShipSpeeds!$A$7:$I$888,5,FALSE)</f>
        <v>4.4685000000000006</v>
      </c>
      <c r="H8" s="8">
        <f>VLOOKUP($B8,ShipSpeeds!$A$7:$I$888,6,FALSE)</f>
        <v>4.2185000000000006</v>
      </c>
      <c r="I8" s="8">
        <f>VLOOKUP($B8,ShipSpeeds!$A$7:$I$888,7,FALSE)</f>
        <v>3.5911999999999997</v>
      </c>
      <c r="J8" s="8">
        <f>VLOOKUP($B8,ShipSpeeds!$A$7:$I$888,8,FALSE)</f>
        <v>2.8470000000000004</v>
      </c>
      <c r="K8" s="8">
        <f>VLOOKUP($B8,ShipSpeeds!$A$7:$I$888,9,FALSE)</f>
        <v>2.5864000000000003</v>
      </c>
      <c r="L8" s="47">
        <f>VLOOKUP($B8,ShipSpeeds!$A$7:$I$888,2,FALSE)</f>
        <v>3.2982999999999998</v>
      </c>
      <c r="M8" s="8">
        <f t="shared" si="2"/>
        <v>0</v>
      </c>
      <c r="N8" s="8">
        <f t="shared" si="3"/>
        <v>4.5113790229195843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89.699087616395914</v>
      </c>
      <c r="B9" s="24">
        <f>Segment1!F35</f>
        <v>37184</v>
      </c>
      <c r="C9" s="29">
        <f t="shared" si="1"/>
        <v>4.5113790229195843</v>
      </c>
      <c r="D9" s="8">
        <f>VLOOKUP($B9,ShipSpeeds!$A$7:$I$888,2,FALSE)</f>
        <v>3.2982999999999998</v>
      </c>
      <c r="E9" s="8">
        <f>VLOOKUP($B9,ShipSpeeds!$A$7:$I$888,3,FALSE)</f>
        <v>4.1368999999999998</v>
      </c>
      <c r="F9" s="8">
        <f>VLOOKUP($B9,ShipSpeeds!$A$7:$I$888,4,FALSE)</f>
        <v>4.5139000000000005</v>
      </c>
      <c r="G9" s="8">
        <f>VLOOKUP($B9,ShipSpeeds!$A$7:$I$888,5,FALSE)</f>
        <v>4.4685000000000006</v>
      </c>
      <c r="H9" s="8">
        <f>VLOOKUP($B9,ShipSpeeds!$A$7:$I$888,6,FALSE)</f>
        <v>4.2185000000000006</v>
      </c>
      <c r="I9" s="8">
        <f>VLOOKUP($B9,ShipSpeeds!$A$7:$I$888,7,FALSE)</f>
        <v>3.5911999999999997</v>
      </c>
      <c r="J9" s="8">
        <f>VLOOKUP($B9,ShipSpeeds!$A$7:$I$888,8,FALSE)</f>
        <v>2.8470000000000004</v>
      </c>
      <c r="K9" s="8">
        <f>VLOOKUP($B9,ShipSpeeds!$A$7:$I$888,9,FALSE)</f>
        <v>2.5864000000000003</v>
      </c>
      <c r="L9" s="47">
        <f>VLOOKUP($B9,ShipSpeeds!$A$7:$I$888,2,FALSE)</f>
        <v>3.2982999999999998</v>
      </c>
      <c r="M9" s="8">
        <f t="shared" si="2"/>
        <v>0</v>
      </c>
      <c r="N9" s="8">
        <f t="shared" si="3"/>
        <v>4.5113790229195843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89.699087616395914</v>
      </c>
      <c r="B10" s="24">
        <f>Segment1!F36</f>
        <v>37194</v>
      </c>
      <c r="C10" s="29">
        <f t="shared" si="1"/>
        <v>4.6791488088687041</v>
      </c>
      <c r="D10" s="8">
        <f>VLOOKUP($B10,ShipSpeeds!$A$7:$I$888,2,FALSE)</f>
        <v>3.2119</v>
      </c>
      <c r="E10" s="8">
        <f>VLOOKUP($B10,ShipSpeeds!$A$7:$I$888,3,FALSE)</f>
        <v>4.1961999999999993</v>
      </c>
      <c r="F10" s="8">
        <f>VLOOKUP($B10,ShipSpeeds!$A$7:$I$888,4,FALSE)</f>
        <v>4.6823999999999995</v>
      </c>
      <c r="G10" s="8">
        <f>VLOOKUP($B10,ShipSpeeds!$A$7:$I$888,5,FALSE)</f>
        <v>4.5412999999999997</v>
      </c>
      <c r="H10" s="8">
        <f>VLOOKUP($B10,ShipSpeeds!$A$7:$I$888,6,FALSE)</f>
        <v>4.4206000000000003</v>
      </c>
      <c r="I10" s="8">
        <f>VLOOKUP($B10,ShipSpeeds!$A$7:$I$888,7,FALSE)</f>
        <v>3.8195999999999999</v>
      </c>
      <c r="J10" s="8">
        <f>VLOOKUP($B10,ShipSpeeds!$A$7:$I$888,8,FALSE)</f>
        <v>2.976</v>
      </c>
      <c r="K10" s="8">
        <f>VLOOKUP($B10,ShipSpeeds!$A$7:$I$888,9,FALSE)</f>
        <v>2.3567</v>
      </c>
      <c r="L10" s="47">
        <f>VLOOKUP($B10,ShipSpeeds!$A$7:$I$888,2,FALSE)</f>
        <v>3.2119</v>
      </c>
      <c r="M10" s="8">
        <f t="shared" si="2"/>
        <v>0</v>
      </c>
      <c r="N10" s="8">
        <f t="shared" si="3"/>
        <v>4.6791488088687041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89.699087616395914</v>
      </c>
      <c r="B11" s="24">
        <f>Segment1!F37</f>
        <v>37194</v>
      </c>
      <c r="C11" s="29">
        <f t="shared" si="1"/>
        <v>4.6791488088687041</v>
      </c>
      <c r="D11" s="8">
        <f>VLOOKUP($B11,ShipSpeeds!$A$7:$I$888,2,FALSE)</f>
        <v>3.2119</v>
      </c>
      <c r="E11" s="8">
        <f>VLOOKUP($B11,ShipSpeeds!$A$7:$I$888,3,FALSE)</f>
        <v>4.1961999999999993</v>
      </c>
      <c r="F11" s="8">
        <f>VLOOKUP($B11,ShipSpeeds!$A$7:$I$888,4,FALSE)</f>
        <v>4.6823999999999995</v>
      </c>
      <c r="G11" s="8">
        <f>VLOOKUP($B11,ShipSpeeds!$A$7:$I$888,5,FALSE)</f>
        <v>4.5412999999999997</v>
      </c>
      <c r="H11" s="8">
        <f>VLOOKUP($B11,ShipSpeeds!$A$7:$I$888,6,FALSE)</f>
        <v>4.4206000000000003</v>
      </c>
      <c r="I11" s="8">
        <f>VLOOKUP($B11,ShipSpeeds!$A$7:$I$888,7,FALSE)</f>
        <v>3.8195999999999999</v>
      </c>
      <c r="J11" s="8">
        <f>VLOOKUP($B11,ShipSpeeds!$A$7:$I$888,8,FALSE)</f>
        <v>2.976</v>
      </c>
      <c r="K11" s="8">
        <f>VLOOKUP($B11,ShipSpeeds!$A$7:$I$888,9,FALSE)</f>
        <v>2.3567</v>
      </c>
      <c r="L11" s="47">
        <f>VLOOKUP($B11,ShipSpeeds!$A$7:$I$888,2,FALSE)</f>
        <v>3.2119</v>
      </c>
      <c r="M11" s="8">
        <f t="shared" si="2"/>
        <v>0</v>
      </c>
      <c r="N11" s="8">
        <f t="shared" si="3"/>
        <v>4.6791488088687041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89.699087616395914</v>
      </c>
      <c r="B12" s="24">
        <f>Segment1!F38</f>
        <v>37204</v>
      </c>
      <c r="C12" s="29">
        <f t="shared" si="1"/>
        <v>5.150918838507244</v>
      </c>
      <c r="D12" s="8">
        <f>VLOOKUP($B12,ShipSpeeds!$A$7:$I$888,2,FALSE)</f>
        <v>3.3128000000000002</v>
      </c>
      <c r="E12" s="8">
        <f>VLOOKUP($B12,ShipSpeeds!$A$7:$I$888,3,FALSE)</f>
        <v>4.6040999999999999</v>
      </c>
      <c r="F12" s="8">
        <f>VLOOKUP($B12,ShipSpeeds!$A$7:$I$888,4,FALSE)</f>
        <v>5.1546000000000003</v>
      </c>
      <c r="G12" s="8">
        <f>VLOOKUP($B12,ShipSpeeds!$A$7:$I$888,5,FALSE)</f>
        <v>4.7935999999999996</v>
      </c>
      <c r="H12" s="8">
        <f>VLOOKUP($B12,ShipSpeeds!$A$7:$I$888,6,FALSE)</f>
        <v>5.1828000000000003</v>
      </c>
      <c r="I12" s="8">
        <f>VLOOKUP($B12,ShipSpeeds!$A$7:$I$888,7,FALSE)</f>
        <v>4.3421000000000003</v>
      </c>
      <c r="J12" s="8">
        <f>VLOOKUP($B12,ShipSpeeds!$A$7:$I$888,8,FALSE)</f>
        <v>2.8186</v>
      </c>
      <c r="K12" s="8">
        <f>VLOOKUP($B12,ShipSpeeds!$A$7:$I$888,9,FALSE)</f>
        <v>1.4163999999999999</v>
      </c>
      <c r="L12" s="47">
        <f>VLOOKUP($B12,ShipSpeeds!$A$7:$I$888,2,FALSE)</f>
        <v>3.3128000000000002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5.150918838507244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>
        <f>Segment1!D39</f>
        <v>89.699087616395914</v>
      </c>
      <c r="B13" s="24">
        <f>Segment1!F39</f>
        <v>37204</v>
      </c>
      <c r="C13" s="29">
        <f t="shared" si="1"/>
        <v>5.150918838507244</v>
      </c>
      <c r="D13" s="8">
        <f>VLOOKUP($B13,ShipSpeeds!$A$7:$I$888,2,FALSE)</f>
        <v>3.3128000000000002</v>
      </c>
      <c r="E13" s="8">
        <f>VLOOKUP($B13,ShipSpeeds!$A$7:$I$888,3,FALSE)</f>
        <v>4.6040999999999999</v>
      </c>
      <c r="F13" s="8">
        <f>VLOOKUP($B13,ShipSpeeds!$A$7:$I$888,4,FALSE)</f>
        <v>5.1546000000000003</v>
      </c>
      <c r="G13" s="8">
        <f>VLOOKUP($B13,ShipSpeeds!$A$7:$I$888,5,FALSE)</f>
        <v>4.7935999999999996</v>
      </c>
      <c r="H13" s="8">
        <f>VLOOKUP($B13,ShipSpeeds!$A$7:$I$888,6,FALSE)</f>
        <v>5.1828000000000003</v>
      </c>
      <c r="I13" s="8">
        <f>VLOOKUP($B13,ShipSpeeds!$A$7:$I$888,7,FALSE)</f>
        <v>4.3421000000000003</v>
      </c>
      <c r="J13" s="8">
        <f>VLOOKUP($B13,ShipSpeeds!$A$7:$I$888,8,FALSE)</f>
        <v>2.8186</v>
      </c>
      <c r="K13" s="8">
        <f>VLOOKUP($B13,ShipSpeeds!$A$7:$I$888,9,FALSE)</f>
        <v>1.4163999999999999</v>
      </c>
      <c r="L13" s="47">
        <f>VLOOKUP($B13,ShipSpeeds!$A$7:$I$888,2,FALSE)</f>
        <v>3.3128000000000002</v>
      </c>
      <c r="M13" s="8">
        <f t="shared" si="2"/>
        <v>0</v>
      </c>
      <c r="N13" s="8">
        <f t="shared" si="3"/>
        <v>5.150918838507244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>
        <f>Segment1!D40</f>
        <v>89.699087616395914</v>
      </c>
      <c r="B14" s="24">
        <f>Segment1!F40</f>
        <v>37214</v>
      </c>
      <c r="C14" s="29">
        <f t="shared" si="1"/>
        <v>4.5886888077073325</v>
      </c>
      <c r="D14" s="8">
        <f>VLOOKUP($B14,ShipSpeeds!$A$7:$I$888,2,FALSE)</f>
        <v>2.9613</v>
      </c>
      <c r="E14" s="8">
        <f>VLOOKUP($B14,ShipSpeeds!$A$7:$I$888,3,FALSE)</f>
        <v>4.0076999999999998</v>
      </c>
      <c r="F14" s="8">
        <f>VLOOKUP($B14,ShipSpeeds!$A$7:$I$888,4,FALSE)</f>
        <v>4.5926</v>
      </c>
      <c r="G14" s="8">
        <f>VLOOKUP($B14,ShipSpeeds!$A$7:$I$888,5,FALSE)</f>
        <v>4.4211</v>
      </c>
      <c r="H14" s="8">
        <f>VLOOKUP($B14,ShipSpeeds!$A$7:$I$888,6,FALSE)</f>
        <v>4.6139000000000001</v>
      </c>
      <c r="I14" s="8">
        <f>VLOOKUP($B14,ShipSpeeds!$A$7:$I$888,7,FALSE)</f>
        <v>4.0541</v>
      </c>
      <c r="J14" s="8">
        <f>VLOOKUP($B14,ShipSpeeds!$A$7:$I$888,8,FALSE)</f>
        <v>3.0065</v>
      </c>
      <c r="K14" s="8">
        <f>VLOOKUP($B14,ShipSpeeds!$A$7:$I$888,9,FALSE)</f>
        <v>1.9016999999999999</v>
      </c>
      <c r="L14" s="47">
        <f>VLOOKUP($B14,ShipSpeeds!$A$7:$I$888,2,FALSE)</f>
        <v>2.9613</v>
      </c>
      <c r="M14" s="8">
        <f t="shared" si="2"/>
        <v>0</v>
      </c>
      <c r="N14" s="8">
        <f t="shared" si="3"/>
        <v>4.5886888077073325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37214</v>
      </c>
      <c r="C15" s="29">
        <f t="shared" si="1"/>
        <v>0</v>
      </c>
      <c r="D15" s="8">
        <f>VLOOKUP($B15,ShipSpeeds!$A$7:$I$888,2,FALSE)</f>
        <v>2.9613</v>
      </c>
      <c r="E15" s="8">
        <f>VLOOKUP($B15,ShipSpeeds!$A$7:$I$888,3,FALSE)</f>
        <v>4.0076999999999998</v>
      </c>
      <c r="F15" s="8">
        <f>VLOOKUP($B15,ShipSpeeds!$A$7:$I$888,4,FALSE)</f>
        <v>4.5926</v>
      </c>
      <c r="G15" s="8">
        <f>VLOOKUP($B15,ShipSpeeds!$A$7:$I$888,5,FALSE)</f>
        <v>4.4211</v>
      </c>
      <c r="H15" s="8">
        <f>VLOOKUP($B15,ShipSpeeds!$A$7:$I$888,6,FALSE)</f>
        <v>4.6139000000000001</v>
      </c>
      <c r="I15" s="8">
        <f>VLOOKUP($B15,ShipSpeeds!$A$7:$I$888,7,FALSE)</f>
        <v>4.0541</v>
      </c>
      <c r="J15" s="8">
        <f>VLOOKUP($B15,ShipSpeeds!$A$7:$I$888,8,FALSE)</f>
        <v>3.0065</v>
      </c>
      <c r="K15" s="8">
        <f>VLOOKUP($B15,ShipSpeeds!$A$7:$I$888,9,FALSE)</f>
        <v>1.9016999999999999</v>
      </c>
      <c r="L15" s="47">
        <f>VLOOKUP($B15,ShipSpeeds!$A$7:$I$888,2,FALSE)</f>
        <v>2.9613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37214</v>
      </c>
      <c r="C16" s="29">
        <f t="shared" si="1"/>
        <v>0</v>
      </c>
      <c r="D16" s="8">
        <f>VLOOKUP($B16,ShipSpeeds!$A$7:$I$888,2,FALSE)</f>
        <v>2.9613</v>
      </c>
      <c r="E16" s="8">
        <f>VLOOKUP($B16,ShipSpeeds!$A$7:$I$888,3,FALSE)</f>
        <v>4.0076999999999998</v>
      </c>
      <c r="F16" s="8">
        <f>VLOOKUP($B16,ShipSpeeds!$A$7:$I$888,4,FALSE)</f>
        <v>4.5926</v>
      </c>
      <c r="G16" s="8">
        <f>VLOOKUP($B16,ShipSpeeds!$A$7:$I$888,5,FALSE)</f>
        <v>4.4211</v>
      </c>
      <c r="H16" s="8">
        <f>VLOOKUP($B16,ShipSpeeds!$A$7:$I$888,6,FALSE)</f>
        <v>4.6139000000000001</v>
      </c>
      <c r="I16" s="8">
        <f>VLOOKUP($B16,ShipSpeeds!$A$7:$I$888,7,FALSE)</f>
        <v>4.0541</v>
      </c>
      <c r="J16" s="8">
        <f>VLOOKUP($B16,ShipSpeeds!$A$7:$I$888,8,FALSE)</f>
        <v>3.0065</v>
      </c>
      <c r="K16" s="8">
        <f>VLOOKUP($B16,ShipSpeeds!$A$7:$I$888,9,FALSE)</f>
        <v>1.9016999999999999</v>
      </c>
      <c r="L16" s="47">
        <f>VLOOKUP($B16,ShipSpeeds!$A$7:$I$888,2,FALSE)</f>
        <v>2.9613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37214</v>
      </c>
      <c r="C17" s="29">
        <f t="shared" si="1"/>
        <v>0</v>
      </c>
      <c r="D17" s="8">
        <f>VLOOKUP($B17,ShipSpeeds!$A$7:$I$888,2,FALSE)</f>
        <v>2.9613</v>
      </c>
      <c r="E17" s="8">
        <f>VLOOKUP($B17,ShipSpeeds!$A$7:$I$888,3,FALSE)</f>
        <v>4.0076999999999998</v>
      </c>
      <c r="F17" s="8">
        <f>VLOOKUP($B17,ShipSpeeds!$A$7:$I$888,4,FALSE)</f>
        <v>4.5926</v>
      </c>
      <c r="G17" s="8">
        <f>VLOOKUP($B17,ShipSpeeds!$A$7:$I$888,5,FALSE)</f>
        <v>4.4211</v>
      </c>
      <c r="H17" s="8">
        <f>VLOOKUP($B17,ShipSpeeds!$A$7:$I$888,6,FALSE)</f>
        <v>4.6139000000000001</v>
      </c>
      <c r="I17" s="8">
        <f>VLOOKUP($B17,ShipSpeeds!$A$7:$I$888,7,FALSE)</f>
        <v>4.0541</v>
      </c>
      <c r="J17" s="8">
        <f>VLOOKUP($B17,ShipSpeeds!$A$7:$I$888,8,FALSE)</f>
        <v>3.0065</v>
      </c>
      <c r="K17" s="8">
        <f>VLOOKUP($B17,ShipSpeeds!$A$7:$I$888,9,FALSE)</f>
        <v>1.9016999999999999</v>
      </c>
      <c r="L17" s="47">
        <f>VLOOKUP($B17,ShipSpeeds!$A$7:$I$888,2,FALSE)</f>
        <v>2.9613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37214</v>
      </c>
      <c r="C18" s="29">
        <f t="shared" si="1"/>
        <v>0</v>
      </c>
      <c r="D18" s="8">
        <f>VLOOKUP($B18,ShipSpeeds!$A$7:$I$888,2,FALSE)</f>
        <v>2.9613</v>
      </c>
      <c r="E18" s="8">
        <f>VLOOKUP($B18,ShipSpeeds!$A$7:$I$888,3,FALSE)</f>
        <v>4.0076999999999998</v>
      </c>
      <c r="F18" s="8">
        <f>VLOOKUP($B18,ShipSpeeds!$A$7:$I$888,4,FALSE)</f>
        <v>4.5926</v>
      </c>
      <c r="G18" s="8">
        <f>VLOOKUP($B18,ShipSpeeds!$A$7:$I$888,5,FALSE)</f>
        <v>4.4211</v>
      </c>
      <c r="H18" s="8">
        <f>VLOOKUP($B18,ShipSpeeds!$A$7:$I$888,6,FALSE)</f>
        <v>4.6139000000000001</v>
      </c>
      <c r="I18" s="8">
        <f>VLOOKUP($B18,ShipSpeeds!$A$7:$I$888,7,FALSE)</f>
        <v>4.0541</v>
      </c>
      <c r="J18" s="8">
        <f>VLOOKUP($B18,ShipSpeeds!$A$7:$I$888,8,FALSE)</f>
        <v>3.0065</v>
      </c>
      <c r="K18" s="8">
        <f>VLOOKUP($B18,ShipSpeeds!$A$7:$I$888,9,FALSE)</f>
        <v>1.9016999999999999</v>
      </c>
      <c r="L18" s="47">
        <f>VLOOKUP($B18,ShipSpeeds!$A$7:$I$888,2,FALSE)</f>
        <v>2.9613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37214</v>
      </c>
      <c r="C19" s="29">
        <f t="shared" si="1"/>
        <v>0</v>
      </c>
      <c r="D19" s="8">
        <f>VLOOKUP($B19,ShipSpeeds!$A$7:$I$888,2,FALSE)</f>
        <v>2.9613</v>
      </c>
      <c r="E19" s="8">
        <f>VLOOKUP($B19,ShipSpeeds!$A$7:$I$888,3,FALSE)</f>
        <v>4.0076999999999998</v>
      </c>
      <c r="F19" s="8">
        <f>VLOOKUP($B19,ShipSpeeds!$A$7:$I$888,4,FALSE)</f>
        <v>4.5926</v>
      </c>
      <c r="G19" s="8">
        <f>VLOOKUP($B19,ShipSpeeds!$A$7:$I$888,5,FALSE)</f>
        <v>4.4211</v>
      </c>
      <c r="H19" s="8">
        <f>VLOOKUP($B19,ShipSpeeds!$A$7:$I$888,6,FALSE)</f>
        <v>4.6139000000000001</v>
      </c>
      <c r="I19" s="8">
        <f>VLOOKUP($B19,ShipSpeeds!$A$7:$I$888,7,FALSE)</f>
        <v>4.0541</v>
      </c>
      <c r="J19" s="8">
        <f>VLOOKUP($B19,ShipSpeeds!$A$7:$I$888,8,FALSE)</f>
        <v>3.0065</v>
      </c>
      <c r="K19" s="8">
        <f>VLOOKUP($B19,ShipSpeeds!$A$7:$I$888,9,FALSE)</f>
        <v>1.9016999999999999</v>
      </c>
      <c r="L19" s="47">
        <f>VLOOKUP($B19,ShipSpeeds!$A$7:$I$888,2,FALSE)</f>
        <v>2.9613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37214</v>
      </c>
      <c r="C20" s="29">
        <f t="shared" si="1"/>
        <v>0</v>
      </c>
      <c r="D20" s="8">
        <f>VLOOKUP($B20,ShipSpeeds!$A$7:$I$888,2,FALSE)</f>
        <v>2.9613</v>
      </c>
      <c r="E20" s="8">
        <f>VLOOKUP($B20,ShipSpeeds!$A$7:$I$888,3,FALSE)</f>
        <v>4.0076999999999998</v>
      </c>
      <c r="F20" s="8">
        <f>VLOOKUP($B20,ShipSpeeds!$A$7:$I$888,4,FALSE)</f>
        <v>4.5926</v>
      </c>
      <c r="G20" s="8">
        <f>VLOOKUP($B20,ShipSpeeds!$A$7:$I$888,5,FALSE)</f>
        <v>4.4211</v>
      </c>
      <c r="H20" s="8">
        <f>VLOOKUP($B20,ShipSpeeds!$A$7:$I$888,6,FALSE)</f>
        <v>4.6139000000000001</v>
      </c>
      <c r="I20" s="8">
        <f>VLOOKUP($B20,ShipSpeeds!$A$7:$I$888,7,FALSE)</f>
        <v>4.0541</v>
      </c>
      <c r="J20" s="8">
        <f>VLOOKUP($B20,ShipSpeeds!$A$7:$I$888,8,FALSE)</f>
        <v>3.0065</v>
      </c>
      <c r="K20" s="8">
        <f>VLOOKUP($B20,ShipSpeeds!$A$7:$I$888,9,FALSE)</f>
        <v>1.9016999999999999</v>
      </c>
      <c r="L20" s="47">
        <f>VLOOKUP($B20,ShipSpeeds!$A$7:$I$888,2,FALSE)</f>
        <v>2.9613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37214</v>
      </c>
      <c r="C21" s="29">
        <f t="shared" si="1"/>
        <v>0</v>
      </c>
      <c r="D21" s="8">
        <f>VLOOKUP($B21,ShipSpeeds!$A$7:$I$888,2,FALSE)</f>
        <v>2.9613</v>
      </c>
      <c r="E21" s="8">
        <f>VLOOKUP($B21,ShipSpeeds!$A$7:$I$888,3,FALSE)</f>
        <v>4.0076999999999998</v>
      </c>
      <c r="F21" s="8">
        <f>VLOOKUP($B21,ShipSpeeds!$A$7:$I$888,4,FALSE)</f>
        <v>4.5926</v>
      </c>
      <c r="G21" s="8">
        <f>VLOOKUP($B21,ShipSpeeds!$A$7:$I$888,5,FALSE)</f>
        <v>4.4211</v>
      </c>
      <c r="H21" s="8">
        <f>VLOOKUP($B21,ShipSpeeds!$A$7:$I$888,6,FALSE)</f>
        <v>4.6139000000000001</v>
      </c>
      <c r="I21" s="8">
        <f>VLOOKUP($B21,ShipSpeeds!$A$7:$I$888,7,FALSE)</f>
        <v>4.0541</v>
      </c>
      <c r="J21" s="8">
        <f>VLOOKUP($B21,ShipSpeeds!$A$7:$I$888,8,FALSE)</f>
        <v>3.0065</v>
      </c>
      <c r="K21" s="8">
        <f>VLOOKUP($B21,ShipSpeeds!$A$7:$I$888,9,FALSE)</f>
        <v>1.9016999999999999</v>
      </c>
      <c r="L21" s="47">
        <f>VLOOKUP($B21,ShipSpeeds!$A$7:$I$888,2,FALSE)</f>
        <v>2.9613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37214</v>
      </c>
      <c r="C22" s="29">
        <f t="shared" si="1"/>
        <v>0</v>
      </c>
      <c r="D22" s="8">
        <f>VLOOKUP($B22,ShipSpeeds!$A$7:$I$888,2,FALSE)</f>
        <v>2.9613</v>
      </c>
      <c r="E22" s="8">
        <f>VLOOKUP($B22,ShipSpeeds!$A$7:$I$888,3,FALSE)</f>
        <v>4.0076999999999998</v>
      </c>
      <c r="F22" s="8">
        <f>VLOOKUP($B22,ShipSpeeds!$A$7:$I$888,4,FALSE)</f>
        <v>4.5926</v>
      </c>
      <c r="G22" s="8">
        <f>VLOOKUP($B22,ShipSpeeds!$A$7:$I$888,5,FALSE)</f>
        <v>4.4211</v>
      </c>
      <c r="H22" s="8">
        <f>VLOOKUP($B22,ShipSpeeds!$A$7:$I$888,6,FALSE)</f>
        <v>4.6139000000000001</v>
      </c>
      <c r="I22" s="8">
        <f>VLOOKUP($B22,ShipSpeeds!$A$7:$I$888,7,FALSE)</f>
        <v>4.0541</v>
      </c>
      <c r="J22" s="8">
        <f>VLOOKUP($B22,ShipSpeeds!$A$7:$I$888,8,FALSE)</f>
        <v>3.0065</v>
      </c>
      <c r="K22" s="8">
        <f>VLOOKUP($B22,ShipSpeeds!$A$7:$I$888,9,FALSE)</f>
        <v>1.9016999999999999</v>
      </c>
      <c r="L22" s="47">
        <f>VLOOKUP($B22,ShipSpeeds!$A$7:$I$888,2,FALSE)</f>
        <v>2.9613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37214</v>
      </c>
      <c r="C23" s="29">
        <f t="shared" si="1"/>
        <v>0</v>
      </c>
      <c r="D23" s="8">
        <f>VLOOKUP($B23,ShipSpeeds!$A$7:$I$888,2,FALSE)</f>
        <v>2.9613</v>
      </c>
      <c r="E23" s="8">
        <f>VLOOKUP($B23,ShipSpeeds!$A$7:$I$888,3,FALSE)</f>
        <v>4.0076999999999998</v>
      </c>
      <c r="F23" s="8">
        <f>VLOOKUP($B23,ShipSpeeds!$A$7:$I$888,4,FALSE)</f>
        <v>4.5926</v>
      </c>
      <c r="G23" s="8">
        <f>VLOOKUP($B23,ShipSpeeds!$A$7:$I$888,5,FALSE)</f>
        <v>4.4211</v>
      </c>
      <c r="H23" s="8">
        <f>VLOOKUP($B23,ShipSpeeds!$A$7:$I$888,6,FALSE)</f>
        <v>4.6139000000000001</v>
      </c>
      <c r="I23" s="8">
        <f>VLOOKUP($B23,ShipSpeeds!$A$7:$I$888,7,FALSE)</f>
        <v>4.0541</v>
      </c>
      <c r="J23" s="8">
        <f>VLOOKUP($B23,ShipSpeeds!$A$7:$I$888,8,FALSE)</f>
        <v>3.0065</v>
      </c>
      <c r="K23" s="8">
        <f>VLOOKUP($B23,ShipSpeeds!$A$7:$I$888,9,FALSE)</f>
        <v>1.9016999999999999</v>
      </c>
      <c r="L23" s="47">
        <f>VLOOKUP($B23,ShipSpeeds!$A$7:$I$888,2,FALSE)</f>
        <v>2.9613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37214</v>
      </c>
      <c r="C24" s="29">
        <f t="shared" si="1"/>
        <v>0</v>
      </c>
      <c r="D24" s="8">
        <f>VLOOKUP($B24,ShipSpeeds!$A$7:$I$888,2,FALSE)</f>
        <v>2.9613</v>
      </c>
      <c r="E24" s="8">
        <f>VLOOKUP($B24,ShipSpeeds!$A$7:$I$888,3,FALSE)</f>
        <v>4.0076999999999998</v>
      </c>
      <c r="F24" s="8">
        <f>VLOOKUP($B24,ShipSpeeds!$A$7:$I$888,4,FALSE)</f>
        <v>4.5926</v>
      </c>
      <c r="G24" s="8">
        <f>VLOOKUP($B24,ShipSpeeds!$A$7:$I$888,5,FALSE)</f>
        <v>4.4211</v>
      </c>
      <c r="H24" s="8">
        <f>VLOOKUP($B24,ShipSpeeds!$A$7:$I$888,6,FALSE)</f>
        <v>4.6139000000000001</v>
      </c>
      <c r="I24" s="8">
        <f>VLOOKUP($B24,ShipSpeeds!$A$7:$I$888,7,FALSE)</f>
        <v>4.0541</v>
      </c>
      <c r="J24" s="8">
        <f>VLOOKUP($B24,ShipSpeeds!$A$7:$I$888,8,FALSE)</f>
        <v>3.0065</v>
      </c>
      <c r="K24" s="8">
        <f>VLOOKUP($B24,ShipSpeeds!$A$7:$I$888,9,FALSE)</f>
        <v>1.9016999999999999</v>
      </c>
      <c r="L24" s="47">
        <f>VLOOKUP($B24,ShipSpeeds!$A$7:$I$888,2,FALSE)</f>
        <v>2.9613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37214</v>
      </c>
      <c r="C25" s="29">
        <f t="shared" si="1"/>
        <v>0</v>
      </c>
      <c r="D25" s="8">
        <f>VLOOKUP($B25,ShipSpeeds!$A$7:$I$888,2,FALSE)</f>
        <v>2.9613</v>
      </c>
      <c r="E25" s="8">
        <f>VLOOKUP($B25,ShipSpeeds!$A$7:$I$888,3,FALSE)</f>
        <v>4.0076999999999998</v>
      </c>
      <c r="F25" s="8">
        <f>VLOOKUP($B25,ShipSpeeds!$A$7:$I$888,4,FALSE)</f>
        <v>4.5926</v>
      </c>
      <c r="G25" s="8">
        <f>VLOOKUP($B25,ShipSpeeds!$A$7:$I$888,5,FALSE)</f>
        <v>4.4211</v>
      </c>
      <c r="H25" s="8">
        <f>VLOOKUP($B25,ShipSpeeds!$A$7:$I$888,6,FALSE)</f>
        <v>4.6139000000000001</v>
      </c>
      <c r="I25" s="8">
        <f>VLOOKUP($B25,ShipSpeeds!$A$7:$I$888,7,FALSE)</f>
        <v>4.0541</v>
      </c>
      <c r="J25" s="8">
        <f>VLOOKUP($B25,ShipSpeeds!$A$7:$I$888,8,FALSE)</f>
        <v>3.0065</v>
      </c>
      <c r="K25" s="8">
        <f>VLOOKUP($B25,ShipSpeeds!$A$7:$I$888,9,FALSE)</f>
        <v>1.9016999999999999</v>
      </c>
      <c r="L25" s="47">
        <f>VLOOKUP($B25,ShipSpeeds!$A$7:$I$888,2,FALSE)</f>
        <v>2.9613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37214</v>
      </c>
      <c r="C26" s="29">
        <f t="shared" si="1"/>
        <v>0</v>
      </c>
      <c r="D26" s="8">
        <f>VLOOKUP($B26,ShipSpeeds!$A$7:$I$888,2,FALSE)</f>
        <v>2.9613</v>
      </c>
      <c r="E26" s="8">
        <f>VLOOKUP($B26,ShipSpeeds!$A$7:$I$888,3,FALSE)</f>
        <v>4.0076999999999998</v>
      </c>
      <c r="F26" s="8">
        <f>VLOOKUP($B26,ShipSpeeds!$A$7:$I$888,4,FALSE)</f>
        <v>4.5926</v>
      </c>
      <c r="G26" s="8">
        <f>VLOOKUP($B26,ShipSpeeds!$A$7:$I$888,5,FALSE)</f>
        <v>4.4211</v>
      </c>
      <c r="H26" s="8">
        <f>VLOOKUP($B26,ShipSpeeds!$A$7:$I$888,6,FALSE)</f>
        <v>4.6139000000000001</v>
      </c>
      <c r="I26" s="8">
        <f>VLOOKUP($B26,ShipSpeeds!$A$7:$I$888,7,FALSE)</f>
        <v>4.0541</v>
      </c>
      <c r="J26" s="8">
        <f>VLOOKUP($B26,ShipSpeeds!$A$7:$I$888,8,FALSE)</f>
        <v>3.0065</v>
      </c>
      <c r="K26" s="8">
        <f>VLOOKUP($B26,ShipSpeeds!$A$7:$I$888,9,FALSE)</f>
        <v>1.9016999999999999</v>
      </c>
      <c r="L26" s="47">
        <f>VLOOKUP($B26,ShipSpeeds!$A$7:$I$888,2,FALSE)</f>
        <v>2.9613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37214</v>
      </c>
      <c r="C27" s="29">
        <f t="shared" si="1"/>
        <v>0</v>
      </c>
      <c r="D27" s="8">
        <f>VLOOKUP($B27,ShipSpeeds!$A$7:$I$888,2,FALSE)</f>
        <v>2.9613</v>
      </c>
      <c r="E27" s="8">
        <f>VLOOKUP($B27,ShipSpeeds!$A$7:$I$888,3,FALSE)</f>
        <v>4.0076999999999998</v>
      </c>
      <c r="F27" s="8">
        <f>VLOOKUP($B27,ShipSpeeds!$A$7:$I$888,4,FALSE)</f>
        <v>4.5926</v>
      </c>
      <c r="G27" s="8">
        <f>VLOOKUP($B27,ShipSpeeds!$A$7:$I$888,5,FALSE)</f>
        <v>4.4211</v>
      </c>
      <c r="H27" s="8">
        <f>VLOOKUP($B27,ShipSpeeds!$A$7:$I$888,6,FALSE)</f>
        <v>4.6139000000000001</v>
      </c>
      <c r="I27" s="8">
        <f>VLOOKUP($B27,ShipSpeeds!$A$7:$I$888,7,FALSE)</f>
        <v>4.0541</v>
      </c>
      <c r="J27" s="8">
        <f>VLOOKUP($B27,ShipSpeeds!$A$7:$I$888,8,FALSE)</f>
        <v>3.0065</v>
      </c>
      <c r="K27" s="8">
        <f>VLOOKUP($B27,ShipSpeeds!$A$7:$I$888,9,FALSE)</f>
        <v>1.9016999999999999</v>
      </c>
      <c r="L27" s="47">
        <f>VLOOKUP($B27,ShipSpeeds!$A$7:$I$888,2,FALSE)</f>
        <v>2.9613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37214</v>
      </c>
      <c r="C28" s="29">
        <f t="shared" si="1"/>
        <v>0</v>
      </c>
      <c r="D28" s="8">
        <f>VLOOKUP($B28,ShipSpeeds!$A$7:$I$888,2,FALSE)</f>
        <v>2.9613</v>
      </c>
      <c r="E28" s="8">
        <f>VLOOKUP($B28,ShipSpeeds!$A$7:$I$888,3,FALSE)</f>
        <v>4.0076999999999998</v>
      </c>
      <c r="F28" s="8">
        <f>VLOOKUP($B28,ShipSpeeds!$A$7:$I$888,4,FALSE)</f>
        <v>4.5926</v>
      </c>
      <c r="G28" s="8">
        <f>VLOOKUP($B28,ShipSpeeds!$A$7:$I$888,5,FALSE)</f>
        <v>4.4211</v>
      </c>
      <c r="H28" s="8">
        <f>VLOOKUP($B28,ShipSpeeds!$A$7:$I$888,6,FALSE)</f>
        <v>4.6139000000000001</v>
      </c>
      <c r="I28" s="8">
        <f>VLOOKUP($B28,ShipSpeeds!$A$7:$I$888,7,FALSE)</f>
        <v>4.0541</v>
      </c>
      <c r="J28" s="8">
        <f>VLOOKUP($B28,ShipSpeeds!$A$7:$I$888,8,FALSE)</f>
        <v>3.0065</v>
      </c>
      <c r="K28" s="8">
        <f>VLOOKUP($B28,ShipSpeeds!$A$7:$I$888,9,FALSE)</f>
        <v>1.9016999999999999</v>
      </c>
      <c r="L28" s="47">
        <f>VLOOKUP($B28,ShipSpeeds!$A$7:$I$888,2,FALSE)</f>
        <v>2.9613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37214</v>
      </c>
      <c r="C29" s="29">
        <f t="shared" si="1"/>
        <v>0</v>
      </c>
      <c r="D29" s="8">
        <f>VLOOKUP($B29,ShipSpeeds!$A$7:$I$888,2,FALSE)</f>
        <v>2.9613</v>
      </c>
      <c r="E29" s="8">
        <f>VLOOKUP($B29,ShipSpeeds!$A$7:$I$888,3,FALSE)</f>
        <v>4.0076999999999998</v>
      </c>
      <c r="F29" s="8">
        <f>VLOOKUP($B29,ShipSpeeds!$A$7:$I$888,4,FALSE)</f>
        <v>4.5926</v>
      </c>
      <c r="G29" s="8">
        <f>VLOOKUP($B29,ShipSpeeds!$A$7:$I$888,5,FALSE)</f>
        <v>4.4211</v>
      </c>
      <c r="H29" s="8">
        <f>VLOOKUP($B29,ShipSpeeds!$A$7:$I$888,6,FALSE)</f>
        <v>4.6139000000000001</v>
      </c>
      <c r="I29" s="8">
        <f>VLOOKUP($B29,ShipSpeeds!$A$7:$I$888,7,FALSE)</f>
        <v>4.0541</v>
      </c>
      <c r="J29" s="8">
        <f>VLOOKUP($B29,ShipSpeeds!$A$7:$I$888,8,FALSE)</f>
        <v>3.0065</v>
      </c>
      <c r="K29" s="8">
        <f>VLOOKUP($B29,ShipSpeeds!$A$7:$I$888,9,FALSE)</f>
        <v>1.9016999999999999</v>
      </c>
      <c r="L29" s="47">
        <f>VLOOKUP($B29,ShipSpeeds!$A$7:$I$888,2,FALSE)</f>
        <v>2.9613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37214</v>
      </c>
      <c r="C30" s="29">
        <f t="shared" si="1"/>
        <v>0</v>
      </c>
      <c r="D30" s="8">
        <f>VLOOKUP($B30,ShipSpeeds!$A$7:$I$888,2,FALSE)</f>
        <v>2.9613</v>
      </c>
      <c r="E30" s="8">
        <f>VLOOKUP($B30,ShipSpeeds!$A$7:$I$888,3,FALSE)</f>
        <v>4.0076999999999998</v>
      </c>
      <c r="F30" s="8">
        <f>VLOOKUP($B30,ShipSpeeds!$A$7:$I$888,4,FALSE)</f>
        <v>4.5926</v>
      </c>
      <c r="G30" s="8">
        <f>VLOOKUP($B30,ShipSpeeds!$A$7:$I$888,5,FALSE)</f>
        <v>4.4211</v>
      </c>
      <c r="H30" s="8">
        <f>VLOOKUP($B30,ShipSpeeds!$A$7:$I$888,6,FALSE)</f>
        <v>4.6139000000000001</v>
      </c>
      <c r="I30" s="8">
        <f>VLOOKUP($B30,ShipSpeeds!$A$7:$I$888,7,FALSE)</f>
        <v>4.0541</v>
      </c>
      <c r="J30" s="8">
        <f>VLOOKUP($B30,ShipSpeeds!$A$7:$I$888,8,FALSE)</f>
        <v>3.0065</v>
      </c>
      <c r="K30" s="8">
        <f>VLOOKUP($B30,ShipSpeeds!$A$7:$I$888,9,FALSE)</f>
        <v>1.9016999999999999</v>
      </c>
      <c r="L30" s="47">
        <f>VLOOKUP($B30,ShipSpeeds!$A$7:$I$888,2,FALSE)</f>
        <v>2.9613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37214</v>
      </c>
      <c r="C31" s="29">
        <f t="shared" si="1"/>
        <v>0</v>
      </c>
      <c r="D31" s="8">
        <f>VLOOKUP($B31,ShipSpeeds!$A$7:$I$888,2,FALSE)</f>
        <v>2.9613</v>
      </c>
      <c r="E31" s="8">
        <f>VLOOKUP($B31,ShipSpeeds!$A$7:$I$888,3,FALSE)</f>
        <v>4.0076999999999998</v>
      </c>
      <c r="F31" s="8">
        <f>VLOOKUP($B31,ShipSpeeds!$A$7:$I$888,4,FALSE)</f>
        <v>4.5926</v>
      </c>
      <c r="G31" s="8">
        <f>VLOOKUP($B31,ShipSpeeds!$A$7:$I$888,5,FALSE)</f>
        <v>4.4211</v>
      </c>
      <c r="H31" s="8">
        <f>VLOOKUP($B31,ShipSpeeds!$A$7:$I$888,6,FALSE)</f>
        <v>4.6139000000000001</v>
      </c>
      <c r="I31" s="8">
        <f>VLOOKUP($B31,ShipSpeeds!$A$7:$I$888,7,FALSE)</f>
        <v>4.0541</v>
      </c>
      <c r="J31" s="8">
        <f>VLOOKUP($B31,ShipSpeeds!$A$7:$I$888,8,FALSE)</f>
        <v>3.0065</v>
      </c>
      <c r="K31" s="8">
        <f>VLOOKUP($B31,ShipSpeeds!$A$7:$I$888,9,FALSE)</f>
        <v>1.9016999999999999</v>
      </c>
      <c r="L31" s="47">
        <f>VLOOKUP($B31,ShipSpeeds!$A$7:$I$888,2,FALSE)</f>
        <v>2.9613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37214</v>
      </c>
      <c r="C32" s="29">
        <f t="shared" si="1"/>
        <v>0</v>
      </c>
      <c r="D32" s="8">
        <f>VLOOKUP($B32,ShipSpeeds!$A$7:$I$888,2,FALSE)</f>
        <v>2.9613</v>
      </c>
      <c r="E32" s="8">
        <f>VLOOKUP($B32,ShipSpeeds!$A$7:$I$888,3,FALSE)</f>
        <v>4.0076999999999998</v>
      </c>
      <c r="F32" s="8">
        <f>VLOOKUP($B32,ShipSpeeds!$A$7:$I$888,4,FALSE)</f>
        <v>4.5926</v>
      </c>
      <c r="G32" s="8">
        <f>VLOOKUP($B32,ShipSpeeds!$A$7:$I$888,5,FALSE)</f>
        <v>4.4211</v>
      </c>
      <c r="H32" s="8">
        <f>VLOOKUP($B32,ShipSpeeds!$A$7:$I$888,6,FALSE)</f>
        <v>4.6139000000000001</v>
      </c>
      <c r="I32" s="8">
        <f>VLOOKUP($B32,ShipSpeeds!$A$7:$I$888,7,FALSE)</f>
        <v>4.0541</v>
      </c>
      <c r="J32" s="8">
        <f>VLOOKUP($B32,ShipSpeeds!$A$7:$I$888,8,FALSE)</f>
        <v>3.0065</v>
      </c>
      <c r="K32" s="8">
        <f>VLOOKUP($B32,ShipSpeeds!$A$7:$I$888,9,FALSE)</f>
        <v>1.9016999999999999</v>
      </c>
      <c r="L32" s="47">
        <f>VLOOKUP($B32,ShipSpeeds!$A$7:$I$888,2,FALSE)</f>
        <v>2.9613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37214</v>
      </c>
      <c r="C33" s="29">
        <f t="shared" si="1"/>
        <v>0</v>
      </c>
      <c r="D33" s="8">
        <f>VLOOKUP($B33,ShipSpeeds!$A$7:$I$888,2,FALSE)</f>
        <v>2.9613</v>
      </c>
      <c r="E33" s="8">
        <f>VLOOKUP($B33,ShipSpeeds!$A$7:$I$888,3,FALSE)</f>
        <v>4.0076999999999998</v>
      </c>
      <c r="F33" s="8">
        <f>VLOOKUP($B33,ShipSpeeds!$A$7:$I$888,4,FALSE)</f>
        <v>4.5926</v>
      </c>
      <c r="G33" s="8">
        <f>VLOOKUP($B33,ShipSpeeds!$A$7:$I$888,5,FALSE)</f>
        <v>4.4211</v>
      </c>
      <c r="H33" s="8">
        <f>VLOOKUP($B33,ShipSpeeds!$A$7:$I$888,6,FALSE)</f>
        <v>4.6139000000000001</v>
      </c>
      <c r="I33" s="8">
        <f>VLOOKUP($B33,ShipSpeeds!$A$7:$I$888,7,FALSE)</f>
        <v>4.0541</v>
      </c>
      <c r="J33" s="8">
        <f>VLOOKUP($B33,ShipSpeeds!$A$7:$I$888,8,FALSE)</f>
        <v>3.0065</v>
      </c>
      <c r="K33" s="8">
        <f>VLOOKUP($B33,ShipSpeeds!$A$7:$I$888,9,FALSE)</f>
        <v>1.9016999999999999</v>
      </c>
      <c r="L33" s="47">
        <f>VLOOKUP($B33,ShipSpeeds!$A$7:$I$888,2,FALSE)</f>
        <v>2.9613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37214</v>
      </c>
      <c r="C34" s="29">
        <f t="shared" si="1"/>
        <v>0</v>
      </c>
      <c r="D34" s="8">
        <f>VLOOKUP($B34,ShipSpeeds!$A$7:$I$888,2,FALSE)</f>
        <v>2.9613</v>
      </c>
      <c r="E34" s="8">
        <f>VLOOKUP($B34,ShipSpeeds!$A$7:$I$888,3,FALSE)</f>
        <v>4.0076999999999998</v>
      </c>
      <c r="F34" s="8">
        <f>VLOOKUP($B34,ShipSpeeds!$A$7:$I$888,4,FALSE)</f>
        <v>4.5926</v>
      </c>
      <c r="G34" s="8">
        <f>VLOOKUP($B34,ShipSpeeds!$A$7:$I$888,5,FALSE)</f>
        <v>4.4211</v>
      </c>
      <c r="H34" s="8">
        <f>VLOOKUP($B34,ShipSpeeds!$A$7:$I$888,6,FALSE)</f>
        <v>4.6139000000000001</v>
      </c>
      <c r="I34" s="8">
        <f>VLOOKUP($B34,ShipSpeeds!$A$7:$I$888,7,FALSE)</f>
        <v>4.0541</v>
      </c>
      <c r="J34" s="8">
        <f>VLOOKUP($B34,ShipSpeeds!$A$7:$I$888,8,FALSE)</f>
        <v>3.0065</v>
      </c>
      <c r="K34" s="8">
        <f>VLOOKUP($B34,ShipSpeeds!$A$7:$I$888,9,FALSE)</f>
        <v>1.9016999999999999</v>
      </c>
      <c r="L34" s="47">
        <f>VLOOKUP($B34,ShipSpeeds!$A$7:$I$888,2,FALSE)</f>
        <v>2.9613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37214</v>
      </c>
      <c r="C35" s="29">
        <f t="shared" si="1"/>
        <v>0</v>
      </c>
      <c r="D35" s="8">
        <f>VLOOKUP($B35,ShipSpeeds!$A$7:$I$888,2,FALSE)</f>
        <v>2.9613</v>
      </c>
      <c r="E35" s="8">
        <f>VLOOKUP($B35,ShipSpeeds!$A$7:$I$888,3,FALSE)</f>
        <v>4.0076999999999998</v>
      </c>
      <c r="F35" s="8">
        <f>VLOOKUP($B35,ShipSpeeds!$A$7:$I$888,4,FALSE)</f>
        <v>4.5926</v>
      </c>
      <c r="G35" s="8">
        <f>VLOOKUP($B35,ShipSpeeds!$A$7:$I$888,5,FALSE)</f>
        <v>4.4211</v>
      </c>
      <c r="H35" s="8">
        <f>VLOOKUP($B35,ShipSpeeds!$A$7:$I$888,6,FALSE)</f>
        <v>4.6139000000000001</v>
      </c>
      <c r="I35" s="8">
        <f>VLOOKUP($B35,ShipSpeeds!$A$7:$I$888,7,FALSE)</f>
        <v>4.0541</v>
      </c>
      <c r="J35" s="8">
        <f>VLOOKUP($B35,ShipSpeeds!$A$7:$I$888,8,FALSE)</f>
        <v>3.0065</v>
      </c>
      <c r="K35" s="8">
        <f>VLOOKUP($B35,ShipSpeeds!$A$7:$I$888,9,FALSE)</f>
        <v>1.9016999999999999</v>
      </c>
      <c r="L35" s="47">
        <f>VLOOKUP($B35,ShipSpeeds!$A$7:$I$888,2,FALSE)</f>
        <v>2.9613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37214</v>
      </c>
      <c r="C36" s="29">
        <f t="shared" si="1"/>
        <v>0</v>
      </c>
      <c r="D36" s="8">
        <f>VLOOKUP($B36,ShipSpeeds!$A$7:$I$888,2,FALSE)</f>
        <v>2.9613</v>
      </c>
      <c r="E36" s="8">
        <f>VLOOKUP($B36,ShipSpeeds!$A$7:$I$888,3,FALSE)</f>
        <v>4.0076999999999998</v>
      </c>
      <c r="F36" s="8">
        <f>VLOOKUP($B36,ShipSpeeds!$A$7:$I$888,4,FALSE)</f>
        <v>4.5926</v>
      </c>
      <c r="G36" s="8">
        <f>VLOOKUP($B36,ShipSpeeds!$A$7:$I$888,5,FALSE)</f>
        <v>4.4211</v>
      </c>
      <c r="H36" s="8">
        <f>VLOOKUP($B36,ShipSpeeds!$A$7:$I$888,6,FALSE)</f>
        <v>4.6139000000000001</v>
      </c>
      <c r="I36" s="8">
        <f>VLOOKUP($B36,ShipSpeeds!$A$7:$I$888,7,FALSE)</f>
        <v>4.0541</v>
      </c>
      <c r="J36" s="8">
        <f>VLOOKUP($B36,ShipSpeeds!$A$7:$I$888,8,FALSE)</f>
        <v>3.0065</v>
      </c>
      <c r="K36" s="8">
        <f>VLOOKUP($B36,ShipSpeeds!$A$7:$I$888,9,FALSE)</f>
        <v>1.9016999999999999</v>
      </c>
      <c r="L36" s="47">
        <f>VLOOKUP($B36,ShipSpeeds!$A$7:$I$888,2,FALSE)</f>
        <v>2.9613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37214</v>
      </c>
      <c r="C37" s="29">
        <f t="shared" si="1"/>
        <v>0</v>
      </c>
      <c r="D37" s="8">
        <f>VLOOKUP($B37,ShipSpeeds!$A$7:$I$888,2,FALSE)</f>
        <v>2.9613</v>
      </c>
      <c r="E37" s="8">
        <f>VLOOKUP($B37,ShipSpeeds!$A$7:$I$888,3,FALSE)</f>
        <v>4.0076999999999998</v>
      </c>
      <c r="F37" s="8">
        <f>VLOOKUP($B37,ShipSpeeds!$A$7:$I$888,4,FALSE)</f>
        <v>4.5926</v>
      </c>
      <c r="G37" s="8">
        <f>VLOOKUP($B37,ShipSpeeds!$A$7:$I$888,5,FALSE)</f>
        <v>4.4211</v>
      </c>
      <c r="H37" s="8">
        <f>VLOOKUP($B37,ShipSpeeds!$A$7:$I$888,6,FALSE)</f>
        <v>4.6139000000000001</v>
      </c>
      <c r="I37" s="8">
        <f>VLOOKUP($B37,ShipSpeeds!$A$7:$I$888,7,FALSE)</f>
        <v>4.0541</v>
      </c>
      <c r="J37" s="8">
        <f>VLOOKUP($B37,ShipSpeeds!$A$7:$I$888,8,FALSE)</f>
        <v>3.0065</v>
      </c>
      <c r="K37" s="8">
        <f>VLOOKUP($B37,ShipSpeeds!$A$7:$I$888,9,FALSE)</f>
        <v>1.9016999999999999</v>
      </c>
      <c r="L37" s="47">
        <f>VLOOKUP($B37,ShipSpeeds!$A$7:$I$888,2,FALSE)</f>
        <v>2.9613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37214</v>
      </c>
      <c r="C38" s="29">
        <f t="shared" si="1"/>
        <v>0</v>
      </c>
      <c r="D38" s="8">
        <f>VLOOKUP($B38,ShipSpeeds!$A$7:$I$888,2,FALSE)</f>
        <v>2.9613</v>
      </c>
      <c r="E38" s="8">
        <f>VLOOKUP($B38,ShipSpeeds!$A$7:$I$888,3,FALSE)</f>
        <v>4.0076999999999998</v>
      </c>
      <c r="F38" s="8">
        <f>VLOOKUP($B38,ShipSpeeds!$A$7:$I$888,4,FALSE)</f>
        <v>4.5926</v>
      </c>
      <c r="G38" s="8">
        <f>VLOOKUP($B38,ShipSpeeds!$A$7:$I$888,5,FALSE)</f>
        <v>4.4211</v>
      </c>
      <c r="H38" s="8">
        <f>VLOOKUP($B38,ShipSpeeds!$A$7:$I$888,6,FALSE)</f>
        <v>4.6139000000000001</v>
      </c>
      <c r="I38" s="8">
        <f>VLOOKUP($B38,ShipSpeeds!$A$7:$I$888,7,FALSE)</f>
        <v>4.0541</v>
      </c>
      <c r="J38" s="8">
        <f>VLOOKUP($B38,ShipSpeeds!$A$7:$I$888,8,FALSE)</f>
        <v>3.0065</v>
      </c>
      <c r="K38" s="8">
        <f>VLOOKUP($B38,ShipSpeeds!$A$7:$I$888,9,FALSE)</f>
        <v>1.9016999999999999</v>
      </c>
      <c r="L38" s="47">
        <f>VLOOKUP($B38,ShipSpeeds!$A$7:$I$888,2,FALSE)</f>
        <v>2.9613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37214</v>
      </c>
      <c r="C39" s="29">
        <f t="shared" si="1"/>
        <v>0</v>
      </c>
      <c r="D39" s="8">
        <f>VLOOKUP($B39,ShipSpeeds!$A$7:$I$888,2,FALSE)</f>
        <v>2.9613</v>
      </c>
      <c r="E39" s="8">
        <f>VLOOKUP($B39,ShipSpeeds!$A$7:$I$888,3,FALSE)</f>
        <v>4.0076999999999998</v>
      </c>
      <c r="F39" s="8">
        <f>VLOOKUP($B39,ShipSpeeds!$A$7:$I$888,4,FALSE)</f>
        <v>4.5926</v>
      </c>
      <c r="G39" s="8">
        <f>VLOOKUP($B39,ShipSpeeds!$A$7:$I$888,5,FALSE)</f>
        <v>4.4211</v>
      </c>
      <c r="H39" s="8">
        <f>VLOOKUP($B39,ShipSpeeds!$A$7:$I$888,6,FALSE)</f>
        <v>4.6139000000000001</v>
      </c>
      <c r="I39" s="8">
        <f>VLOOKUP($B39,ShipSpeeds!$A$7:$I$888,7,FALSE)</f>
        <v>4.0541</v>
      </c>
      <c r="J39" s="8">
        <f>VLOOKUP($B39,ShipSpeeds!$A$7:$I$888,8,FALSE)</f>
        <v>3.0065</v>
      </c>
      <c r="K39" s="8">
        <f>VLOOKUP($B39,ShipSpeeds!$A$7:$I$888,9,FALSE)</f>
        <v>1.9016999999999999</v>
      </c>
      <c r="L39" s="47">
        <f>VLOOKUP($B39,ShipSpeeds!$A$7:$I$888,2,FALSE)</f>
        <v>2.9613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37214</v>
      </c>
      <c r="C40" s="29">
        <f t="shared" si="1"/>
        <v>0</v>
      </c>
      <c r="D40" s="8">
        <f>VLOOKUP($B40,ShipSpeeds!$A$7:$I$888,2,FALSE)</f>
        <v>2.9613</v>
      </c>
      <c r="E40" s="8">
        <f>VLOOKUP($B40,ShipSpeeds!$A$7:$I$888,3,FALSE)</f>
        <v>4.0076999999999998</v>
      </c>
      <c r="F40" s="8">
        <f>VLOOKUP($B40,ShipSpeeds!$A$7:$I$888,4,FALSE)</f>
        <v>4.5926</v>
      </c>
      <c r="G40" s="8">
        <f>VLOOKUP($B40,ShipSpeeds!$A$7:$I$888,5,FALSE)</f>
        <v>4.4211</v>
      </c>
      <c r="H40" s="8">
        <f>VLOOKUP($B40,ShipSpeeds!$A$7:$I$888,6,FALSE)</f>
        <v>4.6139000000000001</v>
      </c>
      <c r="I40" s="8">
        <f>VLOOKUP($B40,ShipSpeeds!$A$7:$I$888,7,FALSE)</f>
        <v>4.0541</v>
      </c>
      <c r="J40" s="8">
        <f>VLOOKUP($B40,ShipSpeeds!$A$7:$I$888,8,FALSE)</f>
        <v>3.0065</v>
      </c>
      <c r="K40" s="8">
        <f>VLOOKUP($B40,ShipSpeeds!$A$7:$I$888,9,FALSE)</f>
        <v>1.9016999999999999</v>
      </c>
      <c r="L40" s="47">
        <f>VLOOKUP($B40,ShipSpeeds!$A$7:$I$888,2,FALSE)</f>
        <v>2.9613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37214</v>
      </c>
      <c r="C41" s="29">
        <f t="shared" si="1"/>
        <v>0</v>
      </c>
      <c r="D41" s="8">
        <f>VLOOKUP($B41,ShipSpeeds!$A$7:$I$888,2,FALSE)</f>
        <v>2.9613</v>
      </c>
      <c r="E41" s="8">
        <f>VLOOKUP($B41,ShipSpeeds!$A$7:$I$888,3,FALSE)</f>
        <v>4.0076999999999998</v>
      </c>
      <c r="F41" s="8">
        <f>VLOOKUP($B41,ShipSpeeds!$A$7:$I$888,4,FALSE)</f>
        <v>4.5926</v>
      </c>
      <c r="G41" s="8">
        <f>VLOOKUP($B41,ShipSpeeds!$A$7:$I$888,5,FALSE)</f>
        <v>4.4211</v>
      </c>
      <c r="H41" s="8">
        <f>VLOOKUP($B41,ShipSpeeds!$A$7:$I$888,6,FALSE)</f>
        <v>4.6139000000000001</v>
      </c>
      <c r="I41" s="8">
        <f>VLOOKUP($B41,ShipSpeeds!$A$7:$I$888,7,FALSE)</f>
        <v>4.0541</v>
      </c>
      <c r="J41" s="8">
        <f>VLOOKUP($B41,ShipSpeeds!$A$7:$I$888,8,FALSE)</f>
        <v>3.0065</v>
      </c>
      <c r="K41" s="8">
        <f>VLOOKUP($B41,ShipSpeeds!$A$7:$I$888,9,FALSE)</f>
        <v>1.9016999999999999</v>
      </c>
      <c r="L41" s="47">
        <f>VLOOKUP($B41,ShipSpeeds!$A$7:$I$888,2,FALSE)</f>
        <v>2.9613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37214</v>
      </c>
      <c r="C42" s="29">
        <f t="shared" si="1"/>
        <v>0</v>
      </c>
      <c r="D42" s="8">
        <f>VLOOKUP($B42,ShipSpeeds!$A$7:$I$888,2,FALSE)</f>
        <v>2.9613</v>
      </c>
      <c r="E42" s="8">
        <f>VLOOKUP($B42,ShipSpeeds!$A$7:$I$888,3,FALSE)</f>
        <v>4.0076999999999998</v>
      </c>
      <c r="F42" s="8">
        <f>VLOOKUP($B42,ShipSpeeds!$A$7:$I$888,4,FALSE)</f>
        <v>4.5926</v>
      </c>
      <c r="G42" s="8">
        <f>VLOOKUP($B42,ShipSpeeds!$A$7:$I$888,5,FALSE)</f>
        <v>4.4211</v>
      </c>
      <c r="H42" s="8">
        <f>VLOOKUP($B42,ShipSpeeds!$A$7:$I$888,6,FALSE)</f>
        <v>4.6139000000000001</v>
      </c>
      <c r="I42" s="8">
        <f>VLOOKUP($B42,ShipSpeeds!$A$7:$I$888,7,FALSE)</f>
        <v>4.0541</v>
      </c>
      <c r="J42" s="8">
        <f>VLOOKUP($B42,ShipSpeeds!$A$7:$I$888,8,FALSE)</f>
        <v>3.0065</v>
      </c>
      <c r="K42" s="8">
        <f>VLOOKUP($B42,ShipSpeeds!$A$7:$I$888,9,FALSE)</f>
        <v>1.9016999999999999</v>
      </c>
      <c r="L42" s="47">
        <f>VLOOKUP($B42,ShipSpeeds!$A$7:$I$888,2,FALSE)</f>
        <v>2.9613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116.2080141187451</v>
      </c>
      <c r="B43" s="24">
        <f>Segment1!F69</f>
        <v>37214</v>
      </c>
      <c r="C43" s="29">
        <f t="shared" si="1"/>
        <v>4.4927183461918938</v>
      </c>
      <c r="D43" s="8">
        <f>VLOOKUP($B43,ShipSpeeds!$A$7:$I$888,2,FALSE)</f>
        <v>2.9613</v>
      </c>
      <c r="E43" s="8">
        <f>VLOOKUP($B43,ShipSpeeds!$A$7:$I$888,3,FALSE)</f>
        <v>4.0076999999999998</v>
      </c>
      <c r="F43" s="8">
        <f>VLOOKUP($B43,ShipSpeeds!$A$7:$I$888,4,FALSE)</f>
        <v>4.5926</v>
      </c>
      <c r="G43" s="8">
        <f>VLOOKUP($B43,ShipSpeeds!$A$7:$I$888,5,FALSE)</f>
        <v>4.4211</v>
      </c>
      <c r="H43" s="8">
        <f>VLOOKUP($B43,ShipSpeeds!$A$7:$I$888,6,FALSE)</f>
        <v>4.6139000000000001</v>
      </c>
      <c r="I43" s="8">
        <f>VLOOKUP($B43,ShipSpeeds!$A$7:$I$888,7,FALSE)</f>
        <v>4.0541</v>
      </c>
      <c r="J43" s="8">
        <f>VLOOKUP($B43,ShipSpeeds!$A$7:$I$888,8,FALSE)</f>
        <v>3.0065</v>
      </c>
      <c r="K43" s="8">
        <f>VLOOKUP($B43,ShipSpeeds!$A$7:$I$888,9,FALSE)</f>
        <v>1.9016999999999999</v>
      </c>
      <c r="L43" s="47">
        <f>VLOOKUP($B43,ShipSpeeds!$A$7:$I$888,2,FALSE)</f>
        <v>2.9613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4.4927183461918938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116.2080141187451</v>
      </c>
      <c r="B44" s="24">
        <f>Segment1!F70</f>
        <v>37214</v>
      </c>
      <c r="C44" s="29">
        <f t="shared" si="1"/>
        <v>4.4927183461918938</v>
      </c>
      <c r="D44" s="8">
        <f>VLOOKUP($B44,ShipSpeeds!$A$7:$I$888,2,FALSE)</f>
        <v>2.9613</v>
      </c>
      <c r="E44" s="8">
        <f>VLOOKUP($B44,ShipSpeeds!$A$7:$I$888,3,FALSE)</f>
        <v>4.0076999999999998</v>
      </c>
      <c r="F44" s="8">
        <f>VLOOKUP($B44,ShipSpeeds!$A$7:$I$888,4,FALSE)</f>
        <v>4.5926</v>
      </c>
      <c r="G44" s="8">
        <f>VLOOKUP($B44,ShipSpeeds!$A$7:$I$888,5,FALSE)</f>
        <v>4.4211</v>
      </c>
      <c r="H44" s="8">
        <f>VLOOKUP($B44,ShipSpeeds!$A$7:$I$888,6,FALSE)</f>
        <v>4.6139000000000001</v>
      </c>
      <c r="I44" s="8">
        <f>VLOOKUP($B44,ShipSpeeds!$A$7:$I$888,7,FALSE)</f>
        <v>4.0541</v>
      </c>
      <c r="J44" s="8">
        <f>VLOOKUP($B44,ShipSpeeds!$A$7:$I$888,8,FALSE)</f>
        <v>3.0065</v>
      </c>
      <c r="K44" s="8">
        <f>VLOOKUP($B44,ShipSpeeds!$A$7:$I$888,9,FALSE)</f>
        <v>1.9016999999999999</v>
      </c>
      <c r="L44" s="47">
        <f>VLOOKUP($B44,ShipSpeeds!$A$7:$I$888,2,FALSE)</f>
        <v>2.9613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4.4927183461918938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38204</v>
      </c>
      <c r="C4" s="29">
        <f>SUM(M4:T4)</f>
        <v>0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38174</v>
      </c>
      <c r="C43" s="29" t="e">
        <f t="shared" si="1"/>
        <v>#N/A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38174</v>
      </c>
      <c r="C44" s="29" t="e">
        <f t="shared" si="1"/>
        <v>#N/A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2020-03-28T12:04:24Z</dcterms:modified>
</cp:coreProperties>
</file>